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\Downloads\"/>
    </mc:Choice>
  </mc:AlternateContent>
  <bookViews>
    <workbookView xWindow="-105" yWindow="-105" windowWidth="23250" windowHeight="12450" firstSheet="1" activeTab="1"/>
  </bookViews>
  <sheets>
    <sheet name="Fase I Etapa II (inicial)" sheetId="3" state="hidden" r:id="rId1"/>
    <sheet name="Fase I Etapa II - Total (2)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5" l="1"/>
  <c r="G64" i="5"/>
  <c r="G46" i="5" l="1"/>
  <c r="G48" i="5"/>
  <c r="G49" i="5"/>
  <c r="G50" i="5"/>
  <c r="G51" i="5"/>
  <c r="G52" i="5"/>
  <c r="G45" i="5"/>
  <c r="G7" i="5"/>
  <c r="G10" i="5"/>
  <c r="G11" i="5"/>
  <c r="G13" i="5"/>
  <c r="G15" i="5"/>
  <c r="G16" i="5"/>
  <c r="G18" i="5"/>
  <c r="G20" i="5"/>
  <c r="G22" i="5"/>
  <c r="G23" i="5"/>
  <c r="G24" i="5"/>
  <c r="G25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6" i="5"/>
  <c r="G9" i="5"/>
  <c r="F74" i="5" l="1"/>
  <c r="G74" i="5" s="1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6" i="5"/>
  <c r="H68" i="5"/>
  <c r="F68" i="5"/>
  <c r="F69" i="5" s="1"/>
  <c r="H66" i="5"/>
  <c r="H67" i="5" s="1"/>
  <c r="F66" i="5"/>
  <c r="G53" i="5" l="1"/>
  <c r="G61" i="5" s="1"/>
  <c r="G43" i="5"/>
  <c r="F67" i="5"/>
  <c r="G54" i="5" l="1"/>
  <c r="G55" i="5" s="1"/>
  <c r="G60" i="5"/>
  <c r="G59" i="5"/>
  <c r="G58" i="5"/>
  <c r="G57" i="5" l="1"/>
  <c r="G62" i="5" s="1"/>
  <c r="G63" i="5" s="1"/>
  <c r="E45" i="3" l="1"/>
  <c r="E9" i="3" l="1"/>
  <c r="G51" i="3" l="1"/>
  <c r="G50" i="3"/>
  <c r="G48" i="3"/>
  <c r="G47" i="3"/>
  <c r="G45" i="3"/>
  <c r="G44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5" i="3"/>
  <c r="G24" i="3"/>
  <c r="G23" i="3"/>
  <c r="G22" i="3"/>
  <c r="G20" i="3"/>
  <c r="L20" i="3" s="1"/>
  <c r="G18" i="3"/>
  <c r="G16" i="3"/>
  <c r="L16" i="3" s="1"/>
  <c r="G15" i="3"/>
  <c r="G13" i="3"/>
  <c r="G11" i="3"/>
  <c r="G10" i="3"/>
  <c r="G9" i="3"/>
  <c r="G7" i="3"/>
  <c r="G6" i="3"/>
  <c r="G52" i="3" l="1"/>
  <c r="G60" i="3" s="1"/>
  <c r="G42" i="3"/>
  <c r="G57" i="3" l="1"/>
  <c r="G59" i="3"/>
  <c r="G58" i="3"/>
  <c r="G53" i="3"/>
  <c r="G54" i="3" s="1"/>
  <c r="G56" i="3" l="1"/>
  <c r="G61" i="3" l="1"/>
</calcChain>
</file>

<file path=xl/sharedStrings.xml><?xml version="1.0" encoding="utf-8"?>
<sst xmlns="http://schemas.openxmlformats.org/spreadsheetml/2006/main" count="285" uniqueCount="127">
  <si>
    <t>PROPUESTA ECONÓMICA</t>
  </si>
  <si>
    <t>ÍTEM</t>
  </si>
  <si>
    <t>DESCRIPCIÓN 
(Corresponde a los ítems o productos contratados)</t>
  </si>
  <si>
    <t>UN</t>
  </si>
  <si>
    <t>CANT.</t>
  </si>
  <si>
    <t>VALOR UNIT. 2025</t>
  </si>
  <si>
    <t>VALOR TOTAL</t>
  </si>
  <si>
    <t>EXCAVACIÓN</t>
  </si>
  <si>
    <t>104.001.001.001</t>
  </si>
  <si>
    <t>Excavación En Zanja a mano en material común h &lt;2 m</t>
  </si>
  <si>
    <t>M3</t>
  </si>
  <si>
    <t>104.001.001.002</t>
  </si>
  <si>
    <t>Excavación En Zanja a mano en material común 2 &lt;= h &lt;= 5 m</t>
  </si>
  <si>
    <t>RELLENOS</t>
  </si>
  <si>
    <t>106.006.001</t>
  </si>
  <si>
    <t>Suministro, transporte e instalación de Arena de Peña</t>
  </si>
  <si>
    <t>Suministro, transporte e instalación Recebo</t>
  </si>
  <si>
    <t>106.003.001.002</t>
  </si>
  <si>
    <t>Suministro, Transporte e Inst.e Sub Base Granular (Clase B Norma IDU 400-11)</t>
  </si>
  <si>
    <t xml:space="preserve">RETIRO DE MATERIALES </t>
  </si>
  <si>
    <t>Retiro y disposic. materiales sobrantes excav y demol</t>
  </si>
  <si>
    <t>M3k</t>
  </si>
  <si>
    <t>POZOS</t>
  </si>
  <si>
    <t>301.002.001</t>
  </si>
  <si>
    <t>Cilindro para pozo insp en mampostería D1.20m e=0.25m</t>
  </si>
  <si>
    <t>M</t>
  </si>
  <si>
    <t>Cargue conc E0,25mD1.7m pozo insp. Cilín</t>
  </si>
  <si>
    <t>MANEJO DE AGUAS</t>
  </si>
  <si>
    <t>606.001.001.002</t>
  </si>
  <si>
    <t>Manejo aguas con bomba sumergible 3"</t>
  </si>
  <si>
    <t>H</t>
  </si>
  <si>
    <t>INSTALACIÓN DE TUBERÍA</t>
  </si>
  <si>
    <t>DOMICILIARIAS Y SUMIDEROS</t>
  </si>
  <si>
    <t>Instalación de domiciliaria de alcantarillado diámetro 6"</t>
  </si>
  <si>
    <t>Conexión domiciliaria de alcantarillado diámetro con silla Yee 6" a 8"</t>
  </si>
  <si>
    <t>Caja para conexion domiciliaria alcantarillado en mampostería 0.6x0.6m</t>
  </si>
  <si>
    <t>Sección Superior Incluye Marco y Tapa para caja en Concreto Reforzado 0,6x0,6m C</t>
  </si>
  <si>
    <t>ITEMS NO PREVISTOS OBRAS</t>
  </si>
  <si>
    <t>Reposicion de concreto 21 MPA (3000 PSI)</t>
  </si>
  <si>
    <t>Placa fondo pozo concreto E0.18 D1.7m</t>
  </si>
  <si>
    <t>NP 07</t>
  </si>
  <si>
    <t>Inst tub flexibles alcant Dn14,16,18"</t>
  </si>
  <si>
    <t>NP 08</t>
  </si>
  <si>
    <t>Traslado de poste concreto de 8 - 10 metros de
altura</t>
  </si>
  <si>
    <t>Reparación acometidas acueducto D 1/2"</t>
  </si>
  <si>
    <t>Suministro, transporte e instalación material seleccionado provenient excavación</t>
  </si>
  <si>
    <t>NP 12</t>
  </si>
  <si>
    <t>Construcción Base D 1.7 m y cañuela</t>
  </si>
  <si>
    <t>Pañete Impermeabilizado 1.5 cm</t>
  </si>
  <si>
    <t>M2</t>
  </si>
  <si>
    <t>Base y cañuela para caja de 0,6x0,6m Construida In-Situ</t>
  </si>
  <si>
    <t>NP 15</t>
  </si>
  <si>
    <t>Const o reconst anden concreto  21 Mpa e&lt;=0,12m</t>
  </si>
  <si>
    <t>Instalación escalera de acceso en polipropileno con refuerzo interno en acero</t>
  </si>
  <si>
    <t>Inst plac cubta circ E0.25m D1.70m cilín</t>
  </si>
  <si>
    <t>SUBTOTAL OBRAS</t>
  </si>
  <si>
    <t>SUMINISTRO</t>
  </si>
  <si>
    <t>903.003.005.001</t>
  </si>
  <si>
    <t>Tub PVCcorru ext,lisa int,PS57psi,D160mm (6")</t>
  </si>
  <si>
    <t>903.003.005.002</t>
  </si>
  <si>
    <t>Tub PVCcorru ext,lisa int,PS57psi,D200mm (8")</t>
  </si>
  <si>
    <t>ITEMS NO PREVISTOS SUMINISTRO</t>
  </si>
  <si>
    <t>Sillas YEE PVC D200 X 160 MM (Alcantarillado)</t>
  </si>
  <si>
    <t>Tub PVCcorru ext,lisa int,PS57psi,D355mm</t>
  </si>
  <si>
    <t>Suministro escalera de acceso en polipropileno con refuerzo interno en acero</t>
  </si>
  <si>
    <t>Tapa alcantarillado CR diámetro 0.70 m</t>
  </si>
  <si>
    <t>SUBTOTAL SUMINISTRO</t>
  </si>
  <si>
    <t xml:space="preserve">SUBTOTAL COSTOS DIRECTOS </t>
  </si>
  <si>
    <t>VALOR TOTAL COSTOS DIRECTOS</t>
  </si>
  <si>
    <t>VALOR TOTAL COSTOS INDIRECTOS</t>
  </si>
  <si>
    <t>ADMINISTRACIÓN (24%) sobre Subtotal Obras</t>
  </si>
  <si>
    <t>IMPREVISTOS (1%)</t>
  </si>
  <si>
    <t>UTILIDAD (5%)</t>
  </si>
  <si>
    <t>ADMINISTRACION DE SUMINISTROS (10%) (E)</t>
  </si>
  <si>
    <t>106.001</t>
  </si>
  <si>
    <t>107.001</t>
  </si>
  <si>
    <t>303.001.001</t>
  </si>
  <si>
    <t>303.002.001</t>
  </si>
  <si>
    <t>303.003.005.001</t>
  </si>
  <si>
    <t>303.003.006.007</t>
  </si>
  <si>
    <t>NP 01 (108.008.007)</t>
  </si>
  <si>
    <t>NP 02 (104.004.009)</t>
  </si>
  <si>
    <t>NP 04 (104.004.004)</t>
  </si>
  <si>
    <t>NP 06 (904.011.001)</t>
  </si>
  <si>
    <t>NP 10 (203.015.001)</t>
  </si>
  <si>
    <t>NP 11 (106.002)</t>
  </si>
  <si>
    <t>NP 13 (404.017.001)</t>
  </si>
  <si>
    <t>NP 14 (303.003.006.001)</t>
  </si>
  <si>
    <t>NP 16 (301.007.001)</t>
  </si>
  <si>
    <t>NP 17 (301.001.001)</t>
  </si>
  <si>
    <t>NP 05 (904.003.003.001.001)</t>
  </si>
  <si>
    <t>NP 09 (903.003.005.008)</t>
  </si>
  <si>
    <t>NP 18 (904.017.001)</t>
  </si>
  <si>
    <t>NP 19 (904.006.001.004.001)</t>
  </si>
  <si>
    <t>904.008.010</t>
  </si>
  <si>
    <t>109.001.001.002</t>
  </si>
  <si>
    <t>Instalación Tuberías flexibles Alcantarillado DN 8"</t>
  </si>
  <si>
    <t>Demolición de caja en mampostería</t>
  </si>
  <si>
    <t>Demoliciones de concreto sin refuerzo con uso de compresor</t>
  </si>
  <si>
    <t>VALOR TOTAL COSTOS DIRECTOS + INDIRECTOS + ADMINISTRACION DE SUMINISTROS</t>
  </si>
  <si>
    <t>Suministro, transporte e instalación gravilla hasta 1/2"</t>
  </si>
  <si>
    <t>NP 03 (106.008)</t>
  </si>
  <si>
    <t>Esta acorde a lista SAI 2025</t>
  </si>
  <si>
    <t>Se  cambia por lo que indica la lista SAI 2025</t>
  </si>
  <si>
    <t>Se cambia por lo que indica la lista SAI 2025</t>
  </si>
  <si>
    <t>NP 10 (507.007.001)</t>
  </si>
  <si>
    <t>El ítem 203015001 se cambia por 507.007.001, ya que e primero no tiene precio</t>
  </si>
  <si>
    <t>NP 14 (404.017.001)</t>
  </si>
  <si>
    <t>NP 15 (303.003.006.001)</t>
  </si>
  <si>
    <t>NP 21 (301.007.001)</t>
  </si>
  <si>
    <t>NP 24 (301.001.001)</t>
  </si>
  <si>
    <t>Se retira el suministro de tubería de 14"</t>
  </si>
  <si>
    <t>NP 23 (904.017.001)</t>
  </si>
  <si>
    <t>NP 25 (904.006.001.004.001)</t>
  </si>
  <si>
    <t>Se cambia por lo que indica la lista SAI 2025, se cambia ítem 109.001.001.002 por 109.001.001.005, por atualización de lista 2023 a 2025.</t>
  </si>
  <si>
    <t>NP 08 (705.017.001)</t>
  </si>
  <si>
    <t>Conexión domiciliaria de alcantarillado diámetro con silla Yee 6" a 14"</t>
  </si>
  <si>
    <t>Permanece el precio del Modf. 3, ya que no hay nueva referencia</t>
  </si>
  <si>
    <t>NP 15 (401.002.007)</t>
  </si>
  <si>
    <t>Const o reconst anden concreto  21 Mpa</t>
  </si>
  <si>
    <t>Se cambia por lo que indica la lista SAI 2025 y se ajusta el volumen acorde al cambio de unidad (de m2 a m3, ya que el anterior contemplaba espesor de 0,12</t>
  </si>
  <si>
    <t>Sillas YEE PVC D355 X 160 MM (Alcantarillado)</t>
  </si>
  <si>
    <t>NP 22 (904.003.003.001.013)</t>
  </si>
  <si>
    <t>Sum pasos de escalera de acceso polipropileno con refuerzo interno en acero</t>
  </si>
  <si>
    <t>Se cabia la unidad y se recalcula el volumen de cajas a demoler</t>
  </si>
  <si>
    <t>NP 07 (109.001.001.005)</t>
  </si>
  <si>
    <t xml:space="preserve">Elaboró: Ingeniero Sanitario, Ricardo Mendivelso.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</si>
</sst>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65" fontId="0" fillId="0" borderId="14" xfId="1" applyFont="1" applyBorder="1" applyAlignment="1">
      <alignment vertical="center"/>
    </xf>
    <xf numFmtId="166" fontId="0" fillId="0" borderId="14" xfId="2" applyNumberFormat="1" applyFont="1" applyFill="1" applyBorder="1" applyAlignment="1">
      <alignment vertical="center"/>
    </xf>
    <xf numFmtId="166" fontId="0" fillId="0" borderId="15" xfId="2" applyNumberFormat="1" applyFont="1" applyBorder="1" applyAlignment="1">
      <alignment vertical="center"/>
    </xf>
    <xf numFmtId="166" fontId="2" fillId="0" borderId="15" xfId="2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165" fontId="0" fillId="0" borderId="20" xfId="1" applyFont="1" applyBorder="1" applyAlignment="1">
      <alignment vertical="center"/>
    </xf>
    <xf numFmtId="166" fontId="0" fillId="0" borderId="20" xfId="2" applyNumberFormat="1" applyFont="1" applyBorder="1" applyAlignment="1">
      <alignment vertical="center"/>
    </xf>
    <xf numFmtId="166" fontId="2" fillId="0" borderId="21" xfId="2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165" fontId="0" fillId="0" borderId="23" xfId="1" applyFont="1" applyBorder="1" applyAlignment="1">
      <alignment vertical="center"/>
    </xf>
    <xf numFmtId="166" fontId="0" fillId="0" borderId="23" xfId="2" applyNumberFormat="1" applyFont="1" applyBorder="1" applyAlignment="1">
      <alignment vertical="center"/>
    </xf>
    <xf numFmtId="166" fontId="0" fillId="0" borderId="24" xfId="2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165" fontId="0" fillId="0" borderId="26" xfId="1" applyFont="1" applyBorder="1" applyAlignment="1">
      <alignment vertical="center"/>
    </xf>
    <xf numFmtId="166" fontId="0" fillId="0" borderId="26" xfId="2" applyNumberFormat="1" applyFont="1" applyBorder="1" applyAlignment="1">
      <alignment vertical="center"/>
    </xf>
    <xf numFmtId="166" fontId="2" fillId="0" borderId="27" xfId="2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6" fontId="0" fillId="0" borderId="14" xfId="2" applyNumberFormat="1" applyFont="1" applyBorder="1" applyAlignment="1">
      <alignment vertical="center"/>
    </xf>
    <xf numFmtId="164" fontId="0" fillId="0" borderId="14" xfId="2" applyFont="1" applyFill="1" applyBorder="1" applyAlignment="1">
      <alignment vertical="center"/>
    </xf>
    <xf numFmtId="44" fontId="0" fillId="0" borderId="0" xfId="0" applyNumberFormat="1"/>
    <xf numFmtId="166" fontId="0" fillId="0" borderId="0" xfId="0" applyNumberFormat="1"/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164" fontId="0" fillId="0" borderId="0" xfId="2" applyFont="1"/>
    <xf numFmtId="49" fontId="0" fillId="0" borderId="22" xfId="0" applyNumberFormat="1" applyBorder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164" fontId="0" fillId="0" borderId="0" xfId="2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5" fontId="2" fillId="2" borderId="8" xfId="1" applyFont="1" applyFill="1" applyBorder="1" applyAlignment="1">
      <alignment horizontal="center" vertical="center"/>
    </xf>
    <xf numFmtId="164" fontId="2" fillId="2" borderId="8" xfId="2" applyFont="1" applyFill="1" applyBorder="1" applyAlignment="1">
      <alignment horizontal="center" vertical="center"/>
    </xf>
    <xf numFmtId="164" fontId="2" fillId="2" borderId="9" xfId="2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165" fontId="0" fillId="4" borderId="8" xfId="1" applyFont="1" applyFill="1" applyBorder="1" applyAlignment="1">
      <alignment vertical="center"/>
    </xf>
    <xf numFmtId="166" fontId="0" fillId="4" borderId="8" xfId="2" applyNumberFormat="1" applyFont="1" applyFill="1" applyBorder="1" applyAlignment="1">
      <alignment vertical="center"/>
    </xf>
    <xf numFmtId="166" fontId="2" fillId="4" borderId="9" xfId="2" applyNumberFormat="1" applyFont="1" applyFill="1" applyBorder="1" applyAlignment="1">
      <alignment vertical="center"/>
    </xf>
    <xf numFmtId="9" fontId="0" fillId="0" borderId="0" xfId="3" applyFont="1" applyFill="1" applyBorder="1" applyAlignment="1">
      <alignment vertical="center"/>
    </xf>
    <xf numFmtId="10" fontId="0" fillId="0" borderId="0" xfId="3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166" fontId="1" fillId="0" borderId="14" xfId="2" applyNumberFormat="1" applyFont="1" applyFill="1" applyBorder="1" applyAlignment="1">
      <alignment vertical="center"/>
    </xf>
    <xf numFmtId="10" fontId="0" fillId="0" borderId="0" xfId="0" applyNumberFormat="1"/>
    <xf numFmtId="2" fontId="0" fillId="0" borderId="0" xfId="0" applyNumberFormat="1"/>
    <xf numFmtId="43" fontId="0" fillId="0" borderId="0" xfId="0" applyNumberFormat="1"/>
    <xf numFmtId="165" fontId="4" fillId="0" borderId="28" xfId="0" applyNumberFormat="1" applyFont="1" applyBorder="1" applyAlignment="1">
      <alignment vertical="center"/>
    </xf>
    <xf numFmtId="0" fontId="0" fillId="5" borderId="0" xfId="0" applyFill="1"/>
    <xf numFmtId="0" fontId="0" fillId="0" borderId="14" xfId="0" applyBorder="1"/>
    <xf numFmtId="49" fontId="2" fillId="0" borderId="0" xfId="0" applyNumberFormat="1" applyFont="1" applyAlignment="1">
      <alignment horizontal="center" vertical="center" wrapText="1"/>
    </xf>
    <xf numFmtId="0" fontId="0" fillId="6" borderId="0" xfId="0" applyFill="1"/>
    <xf numFmtId="0" fontId="0" fillId="6" borderId="14" xfId="0" applyFill="1" applyBorder="1"/>
    <xf numFmtId="165" fontId="4" fillId="6" borderId="28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1774370</xdr:colOff>
      <xdr:row>66</xdr:row>
      <xdr:rowOff>0</xdr:rowOff>
    </xdr:from>
    <xdr:to>
      <xdr:col>2</xdr:col>
      <xdr:colOff>1394096</xdr:colOff>
      <xdr:row>68</xdr:row>
      <xdr:rowOff>101395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05BA5-1F1A-A9E9-181A-1B44DF51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3" y="12409714"/>
          <a:ext cx="1404257" cy="6591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1"/>
  <sheetViews>
    <sheetView showGridLines="0" zoomScale="70" zoomScaleNormal="70" workbookViewId="0">
      <selection activeCell="H10" sqref="H10"/>
    </sheetView>
  </sheetViews>
  <sheetFormatPr baseColWidth="10" defaultRowHeight="15" x14ac:dyDescent="0.25"/>
  <cols>
    <col min="1" max="1" width="5.140625" customWidth="1"/>
    <col min="2" max="2" width="25.85546875" style="28" customWidth="1"/>
    <col min="3" max="3" width="70" bestFit="1" customWidth="1"/>
    <col min="4" max="4" width="4.5703125" bestFit="1" customWidth="1"/>
    <col min="5" max="5" width="10.85546875" bestFit="1" customWidth="1"/>
    <col min="6" max="6" width="17.85546875" bestFit="1" customWidth="1"/>
    <col min="7" max="7" width="20.5703125" bestFit="1" customWidth="1"/>
    <col min="8" max="8" width="14.5703125" style="35" customWidth="1"/>
    <col min="9" max="9" width="12.5703125" customWidth="1"/>
    <col min="10" max="11" width="10.85546875" customWidth="1"/>
    <col min="12" max="12" width="15.85546875" bestFit="1" customWidth="1"/>
    <col min="13" max="13" width="17.140625" bestFit="1" customWidth="1"/>
  </cols>
  <sheetData>
    <row r="1" spans="2:12" ht="15.75" thickBot="1" x14ac:dyDescent="0.3"/>
    <row r="2" spans="2:12" x14ac:dyDescent="0.25">
      <c r="B2" s="66" t="s">
        <v>0</v>
      </c>
      <c r="C2" s="67"/>
      <c r="D2" s="67"/>
      <c r="E2" s="67"/>
      <c r="F2" s="67"/>
      <c r="G2" s="68"/>
    </row>
    <row r="3" spans="2:12" ht="15.75" thickBot="1" x14ac:dyDescent="0.3">
      <c r="B3" s="69"/>
      <c r="C3" s="70"/>
      <c r="D3" s="70"/>
      <c r="E3" s="70"/>
      <c r="F3" s="70"/>
      <c r="G3" s="71"/>
    </row>
    <row r="4" spans="2:12" ht="15.75" thickBot="1" x14ac:dyDescent="0.3">
      <c r="B4" s="36" t="s">
        <v>1</v>
      </c>
      <c r="C4" s="37" t="s">
        <v>2</v>
      </c>
      <c r="D4" s="37" t="s">
        <v>3</v>
      </c>
      <c r="E4" s="38" t="s">
        <v>4</v>
      </c>
      <c r="F4" s="39" t="s">
        <v>5</v>
      </c>
      <c r="G4" s="40" t="s">
        <v>6</v>
      </c>
    </row>
    <row r="5" spans="2:12" x14ac:dyDescent="0.25">
      <c r="B5" s="49" t="s">
        <v>7</v>
      </c>
      <c r="C5" s="50"/>
      <c r="D5" s="50"/>
      <c r="E5" s="50"/>
      <c r="F5" s="50"/>
      <c r="G5" s="51"/>
    </row>
    <row r="6" spans="2:12" x14ac:dyDescent="0.25">
      <c r="B6" s="27" t="s">
        <v>8</v>
      </c>
      <c r="C6" s="1" t="s">
        <v>9</v>
      </c>
      <c r="D6" s="2" t="s">
        <v>10</v>
      </c>
      <c r="E6" s="3">
        <v>1315.43</v>
      </c>
      <c r="F6" s="24">
        <v>52599</v>
      </c>
      <c r="G6" s="5">
        <f>ROUND(E6*F6,$H$2)</f>
        <v>69190303</v>
      </c>
      <c r="I6" s="25"/>
    </row>
    <row r="7" spans="2:12" x14ac:dyDescent="0.25">
      <c r="B7" s="27" t="s">
        <v>11</v>
      </c>
      <c r="C7" s="1" t="s">
        <v>12</v>
      </c>
      <c r="D7" s="2" t="s">
        <v>10</v>
      </c>
      <c r="E7" s="3">
        <v>196.99</v>
      </c>
      <c r="F7" s="4">
        <v>57948</v>
      </c>
      <c r="G7" s="5">
        <f>ROUND(E7*F7,$H$4)</f>
        <v>11415177</v>
      </c>
      <c r="I7" s="25"/>
    </row>
    <row r="8" spans="2:12" x14ac:dyDescent="0.25">
      <c r="B8" s="52" t="s">
        <v>13</v>
      </c>
      <c r="C8" s="53"/>
      <c r="D8" s="53"/>
      <c r="E8" s="53"/>
      <c r="F8" s="53"/>
      <c r="G8" s="54"/>
      <c r="I8" s="25"/>
    </row>
    <row r="9" spans="2:12" x14ac:dyDescent="0.25">
      <c r="B9" s="27" t="s">
        <v>14</v>
      </c>
      <c r="C9" s="1" t="s">
        <v>15</v>
      </c>
      <c r="D9" s="2" t="s">
        <v>10</v>
      </c>
      <c r="E9" s="3">
        <f>6.47+90.05</f>
        <v>96.52</v>
      </c>
      <c r="F9" s="4">
        <v>124366</v>
      </c>
      <c r="G9" s="5">
        <f>ROUND(E9*F9,$H$4)</f>
        <v>12003806</v>
      </c>
      <c r="I9" s="25"/>
    </row>
    <row r="10" spans="2:12" x14ac:dyDescent="0.25">
      <c r="B10" s="27" t="s">
        <v>74</v>
      </c>
      <c r="C10" s="1" t="s">
        <v>16</v>
      </c>
      <c r="D10" s="2" t="s">
        <v>10</v>
      </c>
      <c r="E10" s="3">
        <v>797.1</v>
      </c>
      <c r="F10" s="4">
        <v>86700</v>
      </c>
      <c r="G10" s="5">
        <f>ROUND(E10*F10,$H$4)</f>
        <v>69108570</v>
      </c>
      <c r="I10" s="25"/>
    </row>
    <row r="11" spans="2:12" x14ac:dyDescent="0.25">
      <c r="B11" s="27" t="s">
        <v>17</v>
      </c>
      <c r="C11" s="1" t="s">
        <v>18</v>
      </c>
      <c r="D11" s="2" t="s">
        <v>10</v>
      </c>
      <c r="E11" s="3">
        <v>133.44999999999999</v>
      </c>
      <c r="F11" s="4">
        <v>168878</v>
      </c>
      <c r="G11" s="5">
        <f>ROUND(E11*F11,$H$4)</f>
        <v>22536769</v>
      </c>
      <c r="I11" s="25"/>
    </row>
    <row r="12" spans="2:12" x14ac:dyDescent="0.25">
      <c r="B12" s="52" t="s">
        <v>19</v>
      </c>
      <c r="C12" s="53"/>
      <c r="D12" s="53"/>
      <c r="E12" s="53"/>
      <c r="F12" s="53"/>
      <c r="G12" s="54"/>
      <c r="I12" s="25"/>
    </row>
    <row r="13" spans="2:12" x14ac:dyDescent="0.25">
      <c r="B13" s="27" t="s">
        <v>75</v>
      </c>
      <c r="C13" s="1" t="s">
        <v>20</v>
      </c>
      <c r="D13" s="2" t="s">
        <v>21</v>
      </c>
      <c r="E13" s="3">
        <v>18515.13</v>
      </c>
      <c r="F13" s="4">
        <v>2822</v>
      </c>
      <c r="G13" s="5">
        <f>ROUND(E13*F13,$H$4)</f>
        <v>52249697</v>
      </c>
      <c r="I13" s="25"/>
    </row>
    <row r="14" spans="2:12" x14ac:dyDescent="0.25">
      <c r="B14" s="52" t="s">
        <v>22</v>
      </c>
      <c r="C14" s="53"/>
      <c r="D14" s="53"/>
      <c r="E14" s="53"/>
      <c r="F14" s="53"/>
      <c r="G14" s="54"/>
      <c r="I14" s="25"/>
    </row>
    <row r="15" spans="2:12" x14ac:dyDescent="0.25">
      <c r="B15" s="27" t="s">
        <v>23</v>
      </c>
      <c r="C15" s="1" t="s">
        <v>24</v>
      </c>
      <c r="D15" s="2" t="s">
        <v>25</v>
      </c>
      <c r="E15" s="3">
        <v>19.59</v>
      </c>
      <c r="F15" s="4">
        <v>1017061</v>
      </c>
      <c r="G15" s="5">
        <f>ROUND(E15*F15,$H$4)</f>
        <v>19924225</v>
      </c>
      <c r="I15" s="25"/>
    </row>
    <row r="16" spans="2:12" x14ac:dyDescent="0.25">
      <c r="B16" s="27" t="s">
        <v>94</v>
      </c>
      <c r="C16" s="1" t="s">
        <v>26</v>
      </c>
      <c r="D16" s="2" t="s">
        <v>3</v>
      </c>
      <c r="E16" s="3">
        <v>12</v>
      </c>
      <c r="F16" s="4">
        <v>1388386</v>
      </c>
      <c r="G16" s="5">
        <f>ROUND(E16*F16,$H$4)</f>
        <v>16660632</v>
      </c>
      <c r="I16" s="25"/>
      <c r="L16" s="26">
        <f>K16-G16</f>
        <v>-16660632</v>
      </c>
    </row>
    <row r="17" spans="2:12" x14ac:dyDescent="0.25">
      <c r="B17" s="52" t="s">
        <v>27</v>
      </c>
      <c r="C17" s="53"/>
      <c r="D17" s="53"/>
      <c r="E17" s="53"/>
      <c r="F17" s="53"/>
      <c r="G17" s="54"/>
      <c r="I17" s="25"/>
    </row>
    <row r="18" spans="2:12" x14ac:dyDescent="0.25">
      <c r="B18" s="27" t="s">
        <v>28</v>
      </c>
      <c r="C18" s="1" t="s">
        <v>29</v>
      </c>
      <c r="D18" s="2" t="s">
        <v>30</v>
      </c>
      <c r="E18" s="3">
        <v>174.91</v>
      </c>
      <c r="F18" s="4">
        <v>27005</v>
      </c>
      <c r="G18" s="5">
        <f>ROUND(E18*F18,$H$4)</f>
        <v>4723445</v>
      </c>
      <c r="I18" s="25"/>
    </row>
    <row r="19" spans="2:12" x14ac:dyDescent="0.25">
      <c r="B19" s="52" t="s">
        <v>31</v>
      </c>
      <c r="C19" s="53"/>
      <c r="D19" s="53"/>
      <c r="E19" s="53"/>
      <c r="F19" s="53"/>
      <c r="G19" s="54"/>
      <c r="I19" s="25"/>
    </row>
    <row r="20" spans="2:12" x14ac:dyDescent="0.25">
      <c r="B20" s="27" t="s">
        <v>95</v>
      </c>
      <c r="C20" s="1" t="s">
        <v>96</v>
      </c>
      <c r="D20" s="2" t="s">
        <v>25</v>
      </c>
      <c r="E20" s="3">
        <v>442.3</v>
      </c>
      <c r="F20" s="4">
        <v>13527</v>
      </c>
      <c r="G20" s="5">
        <f>ROUND(E20*F20,$H$4)</f>
        <v>5982992</v>
      </c>
      <c r="I20" s="25"/>
      <c r="L20" s="26">
        <f>K20-G20</f>
        <v>-5982992</v>
      </c>
    </row>
    <row r="21" spans="2:12" x14ac:dyDescent="0.25">
      <c r="B21" s="52" t="s">
        <v>32</v>
      </c>
      <c r="C21" s="53"/>
      <c r="D21" s="53"/>
      <c r="E21" s="53"/>
      <c r="F21" s="53"/>
      <c r="G21" s="54"/>
      <c r="I21" s="25"/>
    </row>
    <row r="22" spans="2:12" x14ac:dyDescent="0.25">
      <c r="B22" s="27" t="s">
        <v>76</v>
      </c>
      <c r="C22" s="1" t="s">
        <v>33</v>
      </c>
      <c r="D22" s="2" t="s">
        <v>25</v>
      </c>
      <c r="E22" s="3">
        <v>413.15</v>
      </c>
      <c r="F22" s="4">
        <v>13189</v>
      </c>
      <c r="G22" s="5">
        <f>ROUND(E22*F22,$H$4)</f>
        <v>5449035</v>
      </c>
      <c r="I22" s="25"/>
    </row>
    <row r="23" spans="2:12" x14ac:dyDescent="0.25">
      <c r="B23" s="27" t="s">
        <v>77</v>
      </c>
      <c r="C23" s="1" t="s">
        <v>34</v>
      </c>
      <c r="D23" s="2" t="s">
        <v>3</v>
      </c>
      <c r="E23" s="3">
        <v>78</v>
      </c>
      <c r="F23" s="4">
        <v>41228</v>
      </c>
      <c r="G23" s="5">
        <f>ROUND(E23*F23,$H$4)</f>
        <v>3215784</v>
      </c>
      <c r="I23" s="25"/>
    </row>
    <row r="24" spans="2:12" x14ac:dyDescent="0.25">
      <c r="B24" s="27" t="s">
        <v>78</v>
      </c>
      <c r="C24" s="1" t="s">
        <v>35</v>
      </c>
      <c r="D24" s="2" t="s">
        <v>25</v>
      </c>
      <c r="E24" s="3">
        <v>78.09</v>
      </c>
      <c r="F24" s="4">
        <v>338801</v>
      </c>
      <c r="G24" s="5">
        <f>ROUND(E24*F24,$H$4)</f>
        <v>26456970</v>
      </c>
      <c r="I24" s="25"/>
    </row>
    <row r="25" spans="2:12" x14ac:dyDescent="0.25">
      <c r="B25" s="27" t="s">
        <v>79</v>
      </c>
      <c r="C25" s="1" t="s">
        <v>36</v>
      </c>
      <c r="D25" s="2" t="s">
        <v>3</v>
      </c>
      <c r="E25" s="3">
        <v>95</v>
      </c>
      <c r="F25" s="4">
        <v>210407</v>
      </c>
      <c r="G25" s="5">
        <f>ROUND(E25*F25,$H$4)</f>
        <v>19988665</v>
      </c>
      <c r="I25" s="25"/>
    </row>
    <row r="26" spans="2:12" x14ac:dyDescent="0.25">
      <c r="B26" s="52" t="s">
        <v>37</v>
      </c>
      <c r="C26" s="53"/>
      <c r="D26" s="53"/>
      <c r="E26" s="53"/>
      <c r="F26" s="53"/>
      <c r="G26" s="54"/>
      <c r="I26" s="25"/>
    </row>
    <row r="27" spans="2:12" x14ac:dyDescent="0.25">
      <c r="B27" s="27" t="s">
        <v>80</v>
      </c>
      <c r="C27" s="1" t="s">
        <v>38</v>
      </c>
      <c r="D27" s="2" t="s">
        <v>10</v>
      </c>
      <c r="E27" s="3">
        <v>1.35</v>
      </c>
      <c r="F27" s="4">
        <v>823451</v>
      </c>
      <c r="G27" s="5">
        <f t="shared" ref="G27:G41" si="0">ROUND(E27*F27,$H$4)</f>
        <v>1111659</v>
      </c>
      <c r="I27" s="25"/>
    </row>
    <row r="28" spans="2:12" x14ac:dyDescent="0.25">
      <c r="B28" s="27" t="s">
        <v>81</v>
      </c>
      <c r="C28" s="1" t="s">
        <v>98</v>
      </c>
      <c r="D28" s="2" t="s">
        <v>10</v>
      </c>
      <c r="E28" s="3">
        <v>17.28</v>
      </c>
      <c r="F28" s="4">
        <v>180454</v>
      </c>
      <c r="G28" s="5">
        <f t="shared" si="0"/>
        <v>3118245</v>
      </c>
      <c r="I28" s="25"/>
    </row>
    <row r="29" spans="2:12" x14ac:dyDescent="0.25">
      <c r="B29" s="27" t="s">
        <v>101</v>
      </c>
      <c r="C29" s="1" t="s">
        <v>100</v>
      </c>
      <c r="D29" s="2" t="s">
        <v>10</v>
      </c>
      <c r="E29" s="3">
        <v>90.05</v>
      </c>
      <c r="F29" s="4">
        <v>178834.5</v>
      </c>
      <c r="G29" s="5">
        <f t="shared" si="0"/>
        <v>16104047</v>
      </c>
      <c r="I29" s="25"/>
    </row>
    <row r="30" spans="2:12" x14ac:dyDescent="0.25">
      <c r="B30" s="27" t="s">
        <v>82</v>
      </c>
      <c r="C30" s="1" t="s">
        <v>97</v>
      </c>
      <c r="D30" s="2" t="s">
        <v>10</v>
      </c>
      <c r="E30" s="3">
        <v>95.51</v>
      </c>
      <c r="F30" s="4">
        <v>25938</v>
      </c>
      <c r="G30" s="5">
        <f t="shared" si="0"/>
        <v>2477338</v>
      </c>
      <c r="I30" s="25"/>
    </row>
    <row r="31" spans="2:12" x14ac:dyDescent="0.25">
      <c r="B31" s="27" t="s">
        <v>83</v>
      </c>
      <c r="C31" s="1" t="s">
        <v>39</v>
      </c>
      <c r="D31" s="2" t="s">
        <v>3</v>
      </c>
      <c r="E31" s="3">
        <v>0</v>
      </c>
      <c r="F31" s="4">
        <v>1264934</v>
      </c>
      <c r="G31" s="5">
        <f t="shared" si="0"/>
        <v>0</v>
      </c>
      <c r="I31" s="25"/>
    </row>
    <row r="32" spans="2:12" x14ac:dyDescent="0.25">
      <c r="B32" s="27" t="s">
        <v>40</v>
      </c>
      <c r="C32" s="1" t="s">
        <v>41</v>
      </c>
      <c r="D32" s="2" t="s">
        <v>25</v>
      </c>
      <c r="E32" s="3">
        <v>0</v>
      </c>
      <c r="F32" s="4">
        <v>42989</v>
      </c>
      <c r="G32" s="5">
        <f t="shared" si="0"/>
        <v>0</v>
      </c>
      <c r="I32" s="25"/>
    </row>
    <row r="33" spans="2:9" x14ac:dyDescent="0.25">
      <c r="B33" s="27" t="s">
        <v>42</v>
      </c>
      <c r="C33" s="1" t="s">
        <v>43</v>
      </c>
      <c r="D33" s="2" t="s">
        <v>3</v>
      </c>
      <c r="E33" s="3">
        <v>0</v>
      </c>
      <c r="F33" s="4">
        <v>632484</v>
      </c>
      <c r="G33" s="5">
        <f t="shared" si="0"/>
        <v>0</v>
      </c>
      <c r="I33" s="25"/>
    </row>
    <row r="34" spans="2:9" x14ac:dyDescent="0.25">
      <c r="B34" s="27" t="s">
        <v>84</v>
      </c>
      <c r="C34" s="1" t="s">
        <v>44</v>
      </c>
      <c r="D34" s="2" t="s">
        <v>3</v>
      </c>
      <c r="E34" s="3">
        <v>40</v>
      </c>
      <c r="F34" s="4">
        <v>69384</v>
      </c>
      <c r="G34" s="5">
        <f t="shared" si="0"/>
        <v>2775360</v>
      </c>
      <c r="I34" s="25"/>
    </row>
    <row r="35" spans="2:9" x14ac:dyDescent="0.25">
      <c r="B35" s="27" t="s">
        <v>85</v>
      </c>
      <c r="C35" s="1" t="s">
        <v>45</v>
      </c>
      <c r="D35" s="2" t="s">
        <v>10</v>
      </c>
      <c r="E35" s="3">
        <v>106.76</v>
      </c>
      <c r="F35" s="4">
        <v>30171</v>
      </c>
      <c r="G35" s="5">
        <f t="shared" si="0"/>
        <v>3221056</v>
      </c>
      <c r="I35" s="25"/>
    </row>
    <row r="36" spans="2:9" x14ac:dyDescent="0.25">
      <c r="B36" s="27" t="s">
        <v>46</v>
      </c>
      <c r="C36" s="1" t="s">
        <v>47</v>
      </c>
      <c r="D36" s="2" t="s">
        <v>3</v>
      </c>
      <c r="E36" s="3">
        <v>12</v>
      </c>
      <c r="F36" s="4">
        <v>1551674</v>
      </c>
      <c r="G36" s="5">
        <f t="shared" si="0"/>
        <v>18620088</v>
      </c>
      <c r="I36" s="25"/>
    </row>
    <row r="37" spans="2:9" x14ac:dyDescent="0.25">
      <c r="B37" s="27" t="s">
        <v>86</v>
      </c>
      <c r="C37" s="1" t="s">
        <v>48</v>
      </c>
      <c r="D37" s="2" t="s">
        <v>49</v>
      </c>
      <c r="E37" s="3">
        <v>3.23</v>
      </c>
      <c r="F37" s="4">
        <v>33497</v>
      </c>
      <c r="G37" s="5">
        <f t="shared" si="0"/>
        <v>108195</v>
      </c>
      <c r="I37" s="25"/>
    </row>
    <row r="38" spans="2:9" x14ac:dyDescent="0.25">
      <c r="B38" s="27" t="s">
        <v>87</v>
      </c>
      <c r="C38" s="1" t="s">
        <v>50</v>
      </c>
      <c r="D38" s="2" t="s">
        <v>3</v>
      </c>
      <c r="E38" s="3">
        <v>95</v>
      </c>
      <c r="F38" s="4">
        <v>127197</v>
      </c>
      <c r="G38" s="5">
        <f t="shared" si="0"/>
        <v>12083715</v>
      </c>
      <c r="I38" s="25"/>
    </row>
    <row r="39" spans="2:9" x14ac:dyDescent="0.25">
      <c r="B39" s="27" t="s">
        <v>51</v>
      </c>
      <c r="C39" s="1" t="s">
        <v>52</v>
      </c>
      <c r="D39" s="2" t="s">
        <v>49</v>
      </c>
      <c r="E39" s="3">
        <v>17.8</v>
      </c>
      <c r="F39" s="4">
        <v>112921</v>
      </c>
      <c r="G39" s="5">
        <f t="shared" si="0"/>
        <v>2009994</v>
      </c>
      <c r="I39" s="25"/>
    </row>
    <row r="40" spans="2:9" x14ac:dyDescent="0.25">
      <c r="B40" s="27" t="s">
        <v>88</v>
      </c>
      <c r="C40" s="1" t="s">
        <v>53</v>
      </c>
      <c r="D40" s="2" t="s">
        <v>25</v>
      </c>
      <c r="E40" s="3">
        <v>16.7</v>
      </c>
      <c r="F40" s="4">
        <v>17403</v>
      </c>
      <c r="G40" s="5">
        <f t="shared" si="0"/>
        <v>290630</v>
      </c>
      <c r="I40" s="25"/>
    </row>
    <row r="41" spans="2:9" x14ac:dyDescent="0.25">
      <c r="B41" s="27" t="s">
        <v>89</v>
      </c>
      <c r="C41" s="1" t="s">
        <v>54</v>
      </c>
      <c r="D41" s="2" t="s">
        <v>3</v>
      </c>
      <c r="E41" s="3">
        <v>12</v>
      </c>
      <c r="F41" s="4">
        <v>57256</v>
      </c>
      <c r="G41" s="5">
        <f t="shared" si="0"/>
        <v>687072</v>
      </c>
      <c r="I41" s="25"/>
    </row>
    <row r="42" spans="2:9" x14ac:dyDescent="0.25">
      <c r="B42" s="29" t="s">
        <v>55</v>
      </c>
      <c r="C42" s="1"/>
      <c r="D42" s="2"/>
      <c r="E42" s="3">
        <v>0</v>
      </c>
      <c r="F42" s="4"/>
      <c r="G42" s="6">
        <f>SUM(G6:G41)</f>
        <v>401513469</v>
      </c>
      <c r="I42" s="25"/>
    </row>
    <row r="43" spans="2:9" x14ac:dyDescent="0.25">
      <c r="B43" s="52" t="s">
        <v>56</v>
      </c>
      <c r="C43" s="53"/>
      <c r="D43" s="53"/>
      <c r="E43" s="53"/>
      <c r="F43" s="53"/>
      <c r="G43" s="54"/>
      <c r="I43" s="25"/>
    </row>
    <row r="44" spans="2:9" x14ac:dyDescent="0.25">
      <c r="B44" s="27" t="s">
        <v>57</v>
      </c>
      <c r="C44" s="1" t="s">
        <v>58</v>
      </c>
      <c r="D44" s="2" t="s">
        <v>25</v>
      </c>
      <c r="E44" s="3">
        <v>413.15</v>
      </c>
      <c r="F44" s="4">
        <v>42665</v>
      </c>
      <c r="G44" s="5">
        <f>ROUND(E44*F44,$H$4)</f>
        <v>17627045</v>
      </c>
      <c r="I44" s="25"/>
    </row>
    <row r="45" spans="2:9" x14ac:dyDescent="0.25">
      <c r="B45" s="27" t="s">
        <v>59</v>
      </c>
      <c r="C45" s="1" t="s">
        <v>60</v>
      </c>
      <c r="D45" s="2" t="s">
        <v>25</v>
      </c>
      <c r="E45" s="3">
        <f>E20</f>
        <v>442.3</v>
      </c>
      <c r="F45" s="4">
        <v>60990</v>
      </c>
      <c r="G45" s="5">
        <f>ROUND(E45*F45,$H$4)</f>
        <v>26975877</v>
      </c>
      <c r="I45" s="25"/>
    </row>
    <row r="46" spans="2:9" x14ac:dyDescent="0.25">
      <c r="B46" s="52" t="s">
        <v>61</v>
      </c>
      <c r="C46" s="53"/>
      <c r="D46" s="53"/>
      <c r="E46" s="53"/>
      <c r="F46" s="53"/>
      <c r="G46" s="54"/>
      <c r="I46" s="25"/>
    </row>
    <row r="47" spans="2:9" x14ac:dyDescent="0.25">
      <c r="B47" s="27" t="s">
        <v>90</v>
      </c>
      <c r="C47" s="1" t="s">
        <v>62</v>
      </c>
      <c r="D47" s="2" t="s">
        <v>3</v>
      </c>
      <c r="E47" s="3">
        <v>90</v>
      </c>
      <c r="F47" s="4">
        <v>114438</v>
      </c>
      <c r="G47" s="5">
        <f>ROUND(E47*F47,$H$4)</f>
        <v>10299420</v>
      </c>
      <c r="I47" s="25"/>
    </row>
    <row r="48" spans="2:9" x14ac:dyDescent="0.25">
      <c r="B48" s="27" t="s">
        <v>91</v>
      </c>
      <c r="C48" s="1" t="s">
        <v>63</v>
      </c>
      <c r="D48" s="2" t="s">
        <v>25</v>
      </c>
      <c r="E48" s="3">
        <v>110.01</v>
      </c>
      <c r="F48" s="4">
        <v>192091</v>
      </c>
      <c r="G48" s="5">
        <f>ROUND(E48*F48,$H$4)</f>
        <v>21131931</v>
      </c>
      <c r="I48" s="25"/>
    </row>
    <row r="49" spans="2:13" hidden="1" x14ac:dyDescent="0.25">
      <c r="B49" s="27"/>
      <c r="C49" s="1"/>
      <c r="D49" s="2"/>
      <c r="E49" s="3">
        <v>0</v>
      </c>
      <c r="F49" s="4"/>
      <c r="G49" s="5"/>
      <c r="I49" s="25"/>
    </row>
    <row r="50" spans="2:13" x14ac:dyDescent="0.25">
      <c r="B50" s="27" t="s">
        <v>92</v>
      </c>
      <c r="C50" s="1" t="s">
        <v>64</v>
      </c>
      <c r="D50" s="2" t="s">
        <v>3</v>
      </c>
      <c r="E50" s="3">
        <v>19</v>
      </c>
      <c r="F50" s="4">
        <v>94248</v>
      </c>
      <c r="G50" s="5">
        <f>ROUND(E50*F50,$H$4)</f>
        <v>1790712</v>
      </c>
      <c r="I50" s="25"/>
    </row>
    <row r="51" spans="2:13" x14ac:dyDescent="0.25">
      <c r="B51" s="27" t="s">
        <v>93</v>
      </c>
      <c r="C51" s="1" t="s">
        <v>65</v>
      </c>
      <c r="D51" s="2" t="s">
        <v>3</v>
      </c>
      <c r="E51" s="3">
        <v>12</v>
      </c>
      <c r="F51" s="4">
        <v>258795</v>
      </c>
      <c r="G51" s="5">
        <f>ROUND(E51*F51,$H$4)</f>
        <v>3105540</v>
      </c>
      <c r="I51" s="25"/>
    </row>
    <row r="52" spans="2:13" x14ac:dyDescent="0.25">
      <c r="B52" s="29" t="s">
        <v>66</v>
      </c>
      <c r="C52" s="1"/>
      <c r="D52" s="2"/>
      <c r="E52" s="3"/>
      <c r="F52" s="4"/>
      <c r="G52" s="6">
        <f>SUM(G44:G51)</f>
        <v>80930525</v>
      </c>
      <c r="I52" s="25"/>
    </row>
    <row r="53" spans="2:13" ht="15.75" thickBot="1" x14ac:dyDescent="0.3">
      <c r="B53" s="30"/>
      <c r="C53" s="7" t="s">
        <v>67</v>
      </c>
      <c r="D53" s="8"/>
      <c r="E53" s="9"/>
      <c r="F53" s="10"/>
      <c r="G53" s="11">
        <f>G42+G52</f>
        <v>482443994</v>
      </c>
      <c r="I53" s="25"/>
    </row>
    <row r="54" spans="2:13" ht="15.75" thickBot="1" x14ac:dyDescent="0.3">
      <c r="B54" s="41" t="s">
        <v>68</v>
      </c>
      <c r="C54" s="42"/>
      <c r="D54" s="43"/>
      <c r="E54" s="44"/>
      <c r="F54" s="45"/>
      <c r="G54" s="46">
        <f>G53</f>
        <v>482443994</v>
      </c>
      <c r="I54" s="25"/>
    </row>
    <row r="55" spans="2:13" ht="15.75" thickBot="1" x14ac:dyDescent="0.3">
      <c r="B55" s="32"/>
      <c r="C55" s="12"/>
      <c r="D55" s="13"/>
      <c r="E55" s="14"/>
      <c r="F55" s="15"/>
      <c r="G55" s="16"/>
    </row>
    <row r="56" spans="2:13" ht="15.75" thickBot="1" x14ac:dyDescent="0.3">
      <c r="B56" s="41" t="s">
        <v>69</v>
      </c>
      <c r="C56" s="42"/>
      <c r="D56" s="43"/>
      <c r="E56" s="44"/>
      <c r="F56" s="45"/>
      <c r="G56" s="46">
        <f>SUM(G57:G59)</f>
        <v>120454041</v>
      </c>
    </row>
    <row r="57" spans="2:13" x14ac:dyDescent="0.25">
      <c r="B57" s="33"/>
      <c r="C57" s="17" t="s">
        <v>70</v>
      </c>
      <c r="D57" s="18"/>
      <c r="E57" s="19"/>
      <c r="F57" s="20"/>
      <c r="G57" s="21">
        <f>ROUND(G42*24%,$H$4)</f>
        <v>96363233</v>
      </c>
    </row>
    <row r="58" spans="2:13" x14ac:dyDescent="0.25">
      <c r="B58" s="34"/>
      <c r="C58" s="22" t="s">
        <v>71</v>
      </c>
      <c r="D58" s="2"/>
      <c r="E58" s="3"/>
      <c r="F58" s="23"/>
      <c r="G58" s="6">
        <f>ROUND(G42*1%,$H$4)</f>
        <v>4015135</v>
      </c>
    </row>
    <row r="59" spans="2:13" x14ac:dyDescent="0.25">
      <c r="B59" s="34"/>
      <c r="C59" s="22" t="s">
        <v>72</v>
      </c>
      <c r="D59" s="2"/>
      <c r="E59" s="3"/>
      <c r="F59" s="23"/>
      <c r="G59" s="6">
        <f>ROUND(G42*5%,$H$4)</f>
        <v>20075673</v>
      </c>
    </row>
    <row r="60" spans="2:13" ht="15.75" thickBot="1" x14ac:dyDescent="0.3">
      <c r="B60" s="34"/>
      <c r="C60" s="22" t="s">
        <v>73</v>
      </c>
      <c r="D60" s="2"/>
      <c r="E60" s="3"/>
      <c r="F60" s="23"/>
      <c r="G60" s="6">
        <f>ROUND(10%*G52,$H$4)</f>
        <v>8093053</v>
      </c>
    </row>
    <row r="61" spans="2:13" ht="15.75" thickBot="1" x14ac:dyDescent="0.3">
      <c r="B61" s="41" t="s">
        <v>99</v>
      </c>
      <c r="C61" s="42"/>
      <c r="D61" s="42"/>
      <c r="E61" s="44"/>
      <c r="F61" s="45"/>
      <c r="G61" s="46">
        <f>G54+G56+G60</f>
        <v>610991088</v>
      </c>
      <c r="M61" s="31">
        <v>610998601.41999996</v>
      </c>
    </row>
  </sheetData>
  <mergeCells count="1">
    <mergeCell ref="B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6"/>
  <sheetViews>
    <sheetView showGridLines="0" tabSelected="1" topLeftCell="F46" zoomScaleNormal="100" workbookViewId="0">
      <selection activeCell="F65" sqref="F65"/>
    </sheetView>
  </sheetViews>
  <sheetFormatPr baseColWidth="10" defaultRowHeight="15" x14ac:dyDescent="0.25"/>
  <cols>
    <col min="1" max="1" width="5.140625" customWidth="1"/>
    <col min="2" max="2" width="25.85546875" style="28" customWidth="1"/>
    <col min="3" max="3" width="70" bestFit="1" customWidth="1"/>
    <col min="4" max="4" width="4.5703125" bestFit="1" customWidth="1"/>
    <col min="5" max="5" width="10.85546875" customWidth="1"/>
    <col min="6" max="6" width="17.85546875" bestFit="1" customWidth="1"/>
    <col min="7" max="7" width="20.5703125" bestFit="1" customWidth="1"/>
    <col min="8" max="8" width="148.42578125" style="35" bestFit="1" customWidth="1"/>
    <col min="9" max="9" width="12.5703125" customWidth="1"/>
    <col min="10" max="11" width="10.85546875" customWidth="1"/>
    <col min="12" max="12" width="13.5703125" customWidth="1"/>
    <col min="13" max="13" width="16.5703125" bestFit="1" customWidth="1"/>
  </cols>
  <sheetData>
    <row r="1" spans="2:13" ht="15.75" thickBot="1" x14ac:dyDescent="0.3"/>
    <row r="2" spans="2:13" x14ac:dyDescent="0.25">
      <c r="B2" s="66" t="s">
        <v>0</v>
      </c>
      <c r="C2" s="67"/>
      <c r="D2" s="67"/>
      <c r="E2" s="67"/>
      <c r="F2" s="67"/>
      <c r="G2" s="68"/>
    </row>
    <row r="3" spans="2:13" ht="15.75" thickBot="1" x14ac:dyDescent="0.3">
      <c r="B3" s="69"/>
      <c r="C3" s="70"/>
      <c r="D3" s="70"/>
      <c r="E3" s="70"/>
      <c r="F3" s="70"/>
      <c r="G3" s="71"/>
    </row>
    <row r="4" spans="2:13" ht="15.75" thickBot="1" x14ac:dyDescent="0.3">
      <c r="B4" s="36" t="s">
        <v>1</v>
      </c>
      <c r="C4" s="37" t="s">
        <v>2</v>
      </c>
      <c r="D4" s="37" t="s">
        <v>3</v>
      </c>
      <c r="E4" s="38" t="s">
        <v>4</v>
      </c>
      <c r="F4" s="39" t="s">
        <v>5</v>
      </c>
      <c r="G4" s="40" t="s">
        <v>6</v>
      </c>
      <c r="I4">
        <v>1.494829</v>
      </c>
      <c r="L4">
        <v>1.01</v>
      </c>
    </row>
    <row r="5" spans="2:13" x14ac:dyDescent="0.25">
      <c r="B5" s="72" t="s">
        <v>7</v>
      </c>
      <c r="C5" s="73"/>
      <c r="D5" s="73"/>
      <c r="E5" s="73"/>
      <c r="F5" s="73"/>
      <c r="G5" s="74"/>
    </row>
    <row r="6" spans="2:13" x14ac:dyDescent="0.25">
      <c r="B6" s="27" t="s">
        <v>8</v>
      </c>
      <c r="C6" s="1" t="s">
        <v>9</v>
      </c>
      <c r="D6" s="2" t="s">
        <v>10</v>
      </c>
      <c r="E6" s="3">
        <v>1361.4700499999999</v>
      </c>
      <c r="F6" s="24">
        <v>52599</v>
      </c>
      <c r="G6" s="5">
        <f>ROUND(E6*F6,$H$2)</f>
        <v>71611963</v>
      </c>
      <c r="I6">
        <v>1315.43</v>
      </c>
      <c r="J6">
        <v>1966.34</v>
      </c>
      <c r="L6">
        <v>2048.9299999999998</v>
      </c>
      <c r="M6" s="57">
        <f>ROUND($L$4*L6,2)</f>
        <v>2069.42</v>
      </c>
    </row>
    <row r="7" spans="2:13" x14ac:dyDescent="0.25">
      <c r="B7" s="27" t="s">
        <v>11</v>
      </c>
      <c r="C7" s="1" t="s">
        <v>12</v>
      </c>
      <c r="D7" s="2" t="s">
        <v>10</v>
      </c>
      <c r="E7" s="3">
        <v>203.88464999999999</v>
      </c>
      <c r="F7" s="4">
        <v>57948</v>
      </c>
      <c r="G7" s="5">
        <f t="shared" ref="G7:G42" si="0">ROUND(E7*F7,$H$2)</f>
        <v>11814708</v>
      </c>
      <c r="I7">
        <v>196.99</v>
      </c>
      <c r="J7">
        <v>294.47000000000003</v>
      </c>
      <c r="L7">
        <v>306.83999999999997</v>
      </c>
      <c r="M7" s="57">
        <f t="shared" ref="M7:M52" si="1">ROUND($L$4*L7,2)</f>
        <v>309.91000000000003</v>
      </c>
    </row>
    <row r="8" spans="2:13" x14ac:dyDescent="0.25">
      <c r="B8" s="75" t="s">
        <v>13</v>
      </c>
      <c r="C8" s="76"/>
      <c r="D8" s="76"/>
      <c r="E8" s="76"/>
      <c r="F8" s="76"/>
      <c r="G8" s="77"/>
      <c r="L8">
        <v>0</v>
      </c>
      <c r="M8" s="57">
        <f t="shared" si="1"/>
        <v>0</v>
      </c>
    </row>
    <row r="9" spans="2:13" x14ac:dyDescent="0.25">
      <c r="B9" s="27" t="s">
        <v>14</v>
      </c>
      <c r="C9" s="1" t="s">
        <v>15</v>
      </c>
      <c r="D9" s="2" t="s">
        <v>10</v>
      </c>
      <c r="E9" s="3">
        <v>99.898200000000003</v>
      </c>
      <c r="F9" s="4">
        <v>124366</v>
      </c>
      <c r="G9" s="5">
        <f t="shared" si="0"/>
        <v>12423940</v>
      </c>
      <c r="I9">
        <v>96.52</v>
      </c>
      <c r="J9">
        <v>144.28</v>
      </c>
      <c r="L9">
        <v>150.34</v>
      </c>
      <c r="M9" s="57">
        <f t="shared" si="1"/>
        <v>151.84</v>
      </c>
    </row>
    <row r="10" spans="2:13" x14ac:dyDescent="0.25">
      <c r="B10" s="27" t="s">
        <v>74</v>
      </c>
      <c r="C10" s="1" t="s">
        <v>16</v>
      </c>
      <c r="D10" s="2" t="s">
        <v>10</v>
      </c>
      <c r="E10" s="3">
        <v>824.99850000000004</v>
      </c>
      <c r="F10" s="55">
        <v>79518</v>
      </c>
      <c r="G10" s="5">
        <f t="shared" si="0"/>
        <v>65602231</v>
      </c>
      <c r="H10" s="35" t="s">
        <v>103</v>
      </c>
      <c r="I10">
        <v>797.1</v>
      </c>
      <c r="J10">
        <v>1191.53</v>
      </c>
      <c r="L10">
        <v>1241.57</v>
      </c>
      <c r="M10" s="57">
        <f t="shared" si="1"/>
        <v>1253.99</v>
      </c>
    </row>
    <row r="11" spans="2:13" x14ac:dyDescent="0.25">
      <c r="B11" s="27" t="s">
        <v>17</v>
      </c>
      <c r="C11" s="1" t="s">
        <v>18</v>
      </c>
      <c r="D11" s="2" t="s">
        <v>10</v>
      </c>
      <c r="E11" s="3">
        <v>138.12074999999999</v>
      </c>
      <c r="F11" s="4">
        <v>168878</v>
      </c>
      <c r="G11" s="5">
        <f t="shared" si="0"/>
        <v>23325556</v>
      </c>
      <c r="I11">
        <v>133.44999999999999</v>
      </c>
      <c r="J11">
        <v>199.48</v>
      </c>
      <c r="L11">
        <v>207.86</v>
      </c>
      <c r="M11" s="57">
        <f t="shared" si="1"/>
        <v>209.94</v>
      </c>
    </row>
    <row r="12" spans="2:13" x14ac:dyDescent="0.25">
      <c r="B12" s="75" t="s">
        <v>19</v>
      </c>
      <c r="C12" s="76"/>
      <c r="D12" s="76"/>
      <c r="E12" s="76"/>
      <c r="F12" s="76"/>
      <c r="G12" s="77"/>
      <c r="L12">
        <v>0</v>
      </c>
      <c r="M12" s="57">
        <f t="shared" si="1"/>
        <v>0</v>
      </c>
    </row>
    <row r="13" spans="2:13" x14ac:dyDescent="0.25">
      <c r="B13" s="27" t="s">
        <v>75</v>
      </c>
      <c r="C13" s="1" t="s">
        <v>20</v>
      </c>
      <c r="D13" s="2" t="s">
        <v>21</v>
      </c>
      <c r="E13" s="3">
        <v>19163.15955</v>
      </c>
      <c r="F13" s="4">
        <v>2822</v>
      </c>
      <c r="G13" s="5">
        <f t="shared" si="0"/>
        <v>54078436</v>
      </c>
      <c r="I13">
        <v>18515.13</v>
      </c>
      <c r="J13">
        <v>27676.95</v>
      </c>
      <c r="L13">
        <v>28839.38</v>
      </c>
      <c r="M13" s="57">
        <f t="shared" si="1"/>
        <v>29127.77</v>
      </c>
    </row>
    <row r="14" spans="2:13" x14ac:dyDescent="0.25">
      <c r="B14" s="75" t="s">
        <v>22</v>
      </c>
      <c r="C14" s="76"/>
      <c r="D14" s="76"/>
      <c r="E14" s="76"/>
      <c r="F14" s="76"/>
      <c r="G14" s="77"/>
      <c r="L14">
        <v>0</v>
      </c>
      <c r="M14" s="57">
        <f t="shared" si="1"/>
        <v>0</v>
      </c>
    </row>
    <row r="15" spans="2:13" x14ac:dyDescent="0.25">
      <c r="B15" s="27" t="s">
        <v>23</v>
      </c>
      <c r="C15" s="1" t="s">
        <v>24</v>
      </c>
      <c r="D15" s="2" t="s">
        <v>25</v>
      </c>
      <c r="E15">
        <v>20.275649999999999</v>
      </c>
      <c r="F15" s="4">
        <v>1017061</v>
      </c>
      <c r="G15" s="5">
        <f t="shared" si="0"/>
        <v>20621573</v>
      </c>
      <c r="I15">
        <v>19.59</v>
      </c>
      <c r="J15">
        <v>29.28</v>
      </c>
      <c r="L15">
        <v>30.51</v>
      </c>
      <c r="M15" s="57">
        <f t="shared" si="1"/>
        <v>30.82</v>
      </c>
    </row>
    <row r="16" spans="2:13" x14ac:dyDescent="0.25">
      <c r="B16" s="27" t="s">
        <v>94</v>
      </c>
      <c r="C16" s="1" t="s">
        <v>26</v>
      </c>
      <c r="D16" s="2" t="s">
        <v>3</v>
      </c>
      <c r="E16">
        <v>12</v>
      </c>
      <c r="F16" s="4">
        <v>1388386</v>
      </c>
      <c r="G16" s="5">
        <f t="shared" si="0"/>
        <v>16660632</v>
      </c>
      <c r="I16">
        <v>12</v>
      </c>
      <c r="J16">
        <v>17.940000000000001</v>
      </c>
      <c r="L16" s="26">
        <v>19</v>
      </c>
      <c r="M16" s="57">
        <f t="shared" si="1"/>
        <v>19.190000000000001</v>
      </c>
    </row>
    <row r="17" spans="2:13" x14ac:dyDescent="0.25">
      <c r="B17" s="75" t="s">
        <v>27</v>
      </c>
      <c r="C17" s="76"/>
      <c r="D17" s="76"/>
      <c r="E17" s="76"/>
      <c r="F17" s="76"/>
      <c r="G17" s="77"/>
      <c r="L17">
        <v>0</v>
      </c>
      <c r="M17" s="57">
        <f t="shared" si="1"/>
        <v>0</v>
      </c>
    </row>
    <row r="18" spans="2:13" x14ac:dyDescent="0.25">
      <c r="B18" s="27" t="s">
        <v>28</v>
      </c>
      <c r="C18" s="1" t="s">
        <v>29</v>
      </c>
      <c r="D18" s="2" t="s">
        <v>30</v>
      </c>
      <c r="E18">
        <v>181.03184999999999</v>
      </c>
      <c r="F18" s="4">
        <v>27005</v>
      </c>
      <c r="G18" s="5">
        <f t="shared" si="0"/>
        <v>4888765</v>
      </c>
      <c r="H18" s="35" t="s">
        <v>102</v>
      </c>
      <c r="I18">
        <v>174.91</v>
      </c>
      <c r="J18">
        <v>261.45999999999998</v>
      </c>
      <c r="L18">
        <v>222.99</v>
      </c>
      <c r="M18" s="57">
        <f t="shared" si="1"/>
        <v>225.22</v>
      </c>
    </row>
    <row r="19" spans="2:13" x14ac:dyDescent="0.25">
      <c r="B19" s="75" t="s">
        <v>31</v>
      </c>
      <c r="C19" s="76"/>
      <c r="D19" s="76"/>
      <c r="E19" s="76"/>
      <c r="F19" s="76"/>
      <c r="G19" s="77"/>
      <c r="L19">
        <v>0</v>
      </c>
      <c r="M19" s="57">
        <f t="shared" si="1"/>
        <v>0</v>
      </c>
    </row>
    <row r="20" spans="2:13" x14ac:dyDescent="0.25">
      <c r="B20" s="27" t="s">
        <v>95</v>
      </c>
      <c r="C20" s="1" t="s">
        <v>96</v>
      </c>
      <c r="D20" s="2" t="s">
        <v>25</v>
      </c>
      <c r="E20">
        <v>457.78050000000002</v>
      </c>
      <c r="F20" s="4">
        <v>13527</v>
      </c>
      <c r="G20" s="5">
        <f t="shared" si="0"/>
        <v>6192397</v>
      </c>
      <c r="I20">
        <v>442.3</v>
      </c>
      <c r="J20">
        <v>661.16</v>
      </c>
      <c r="L20" s="26">
        <v>688.93</v>
      </c>
      <c r="M20" s="57">
        <f t="shared" si="1"/>
        <v>695.82</v>
      </c>
    </row>
    <row r="21" spans="2:13" x14ac:dyDescent="0.25">
      <c r="B21" s="75" t="s">
        <v>32</v>
      </c>
      <c r="C21" s="76"/>
      <c r="D21" s="76"/>
      <c r="E21" s="76"/>
      <c r="F21" s="76"/>
      <c r="G21" s="77"/>
      <c r="L21">
        <v>0</v>
      </c>
      <c r="M21" s="57">
        <f t="shared" si="1"/>
        <v>0</v>
      </c>
    </row>
    <row r="22" spans="2:13" x14ac:dyDescent="0.25">
      <c r="B22" s="27" t="s">
        <v>76</v>
      </c>
      <c r="C22" s="1" t="s">
        <v>33</v>
      </c>
      <c r="D22" s="2" t="s">
        <v>25</v>
      </c>
      <c r="E22">
        <v>427.61025000000001</v>
      </c>
      <c r="F22" s="4">
        <v>13189</v>
      </c>
      <c r="G22" s="5">
        <f t="shared" si="0"/>
        <v>5639752</v>
      </c>
      <c r="I22">
        <v>413.15</v>
      </c>
      <c r="J22">
        <v>617.59</v>
      </c>
      <c r="L22">
        <v>643.53</v>
      </c>
      <c r="M22" s="57">
        <f t="shared" si="1"/>
        <v>649.97</v>
      </c>
    </row>
    <row r="23" spans="2:13" x14ac:dyDescent="0.25">
      <c r="B23" s="27" t="s">
        <v>77</v>
      </c>
      <c r="C23" s="1" t="s">
        <v>34</v>
      </c>
      <c r="D23" s="2" t="s">
        <v>3</v>
      </c>
      <c r="E23">
        <v>80</v>
      </c>
      <c r="F23" s="4">
        <v>41228</v>
      </c>
      <c r="G23" s="5">
        <f t="shared" si="0"/>
        <v>3298240</v>
      </c>
      <c r="I23">
        <v>78</v>
      </c>
      <c r="J23">
        <v>116.6</v>
      </c>
      <c r="L23">
        <v>148</v>
      </c>
      <c r="M23" s="57">
        <f t="shared" si="1"/>
        <v>149.47999999999999</v>
      </c>
    </row>
    <row r="24" spans="2:13" x14ac:dyDescent="0.25">
      <c r="B24" s="27" t="s">
        <v>78</v>
      </c>
      <c r="C24" s="1" t="s">
        <v>35</v>
      </c>
      <c r="D24" s="2" t="s">
        <v>25</v>
      </c>
      <c r="E24">
        <v>80.823149999999998</v>
      </c>
      <c r="F24" s="4">
        <v>338801</v>
      </c>
      <c r="G24" s="5">
        <f t="shared" si="0"/>
        <v>27382964</v>
      </c>
      <c r="I24">
        <v>78.09</v>
      </c>
      <c r="J24">
        <v>116.73</v>
      </c>
      <c r="L24">
        <v>121.63</v>
      </c>
      <c r="M24" s="57">
        <f t="shared" si="1"/>
        <v>122.85</v>
      </c>
    </row>
    <row r="25" spans="2:13" x14ac:dyDescent="0.25">
      <c r="B25" s="27" t="s">
        <v>79</v>
      </c>
      <c r="C25" s="1" t="s">
        <v>36</v>
      </c>
      <c r="D25" s="2" t="s">
        <v>3</v>
      </c>
      <c r="E25" s="63">
        <v>80</v>
      </c>
      <c r="F25" s="4">
        <v>210407</v>
      </c>
      <c r="G25" s="5">
        <f t="shared" si="0"/>
        <v>16832560</v>
      </c>
      <c r="I25">
        <v>95</v>
      </c>
      <c r="J25">
        <v>142.01</v>
      </c>
      <c r="L25">
        <v>148</v>
      </c>
      <c r="M25" s="57">
        <f t="shared" si="1"/>
        <v>149.47999999999999</v>
      </c>
    </row>
    <row r="26" spans="2:13" x14ac:dyDescent="0.25">
      <c r="B26" s="75" t="s">
        <v>37</v>
      </c>
      <c r="C26" s="76"/>
      <c r="D26" s="76"/>
      <c r="E26" s="76"/>
      <c r="F26" s="76"/>
      <c r="G26" s="77"/>
      <c r="L26">
        <v>0</v>
      </c>
      <c r="M26" s="57">
        <f t="shared" si="1"/>
        <v>0</v>
      </c>
    </row>
    <row r="27" spans="2:13" x14ac:dyDescent="0.25">
      <c r="B27" s="27" t="s">
        <v>80</v>
      </c>
      <c r="C27" s="1" t="s">
        <v>38</v>
      </c>
      <c r="D27" s="2" t="s">
        <v>10</v>
      </c>
      <c r="E27">
        <v>1.3972500000000001</v>
      </c>
      <c r="F27" s="4">
        <v>823451</v>
      </c>
      <c r="G27" s="5">
        <f t="shared" si="0"/>
        <v>1150567</v>
      </c>
      <c r="H27" s="35" t="s">
        <v>102</v>
      </c>
      <c r="I27">
        <v>1.35</v>
      </c>
      <c r="J27">
        <v>2.02</v>
      </c>
      <c r="L27">
        <v>2.1</v>
      </c>
      <c r="M27" s="57">
        <f t="shared" si="1"/>
        <v>2.12</v>
      </c>
    </row>
    <row r="28" spans="2:13" x14ac:dyDescent="0.25">
      <c r="B28" s="27" t="s">
        <v>81</v>
      </c>
      <c r="C28" s="1" t="s">
        <v>98</v>
      </c>
      <c r="D28" s="2" t="s">
        <v>10</v>
      </c>
      <c r="E28">
        <v>17.884799999999998</v>
      </c>
      <c r="F28" s="4">
        <v>180454</v>
      </c>
      <c r="G28" s="5">
        <f t="shared" si="0"/>
        <v>3227384</v>
      </c>
      <c r="I28">
        <v>17.28</v>
      </c>
      <c r="J28">
        <v>25.83</v>
      </c>
      <c r="L28">
        <v>26.91</v>
      </c>
      <c r="M28" s="57">
        <f t="shared" si="1"/>
        <v>27.18</v>
      </c>
    </row>
    <row r="29" spans="2:13" x14ac:dyDescent="0.25">
      <c r="B29" s="27" t="s">
        <v>101</v>
      </c>
      <c r="C29" s="1" t="s">
        <v>100</v>
      </c>
      <c r="D29" s="2" t="s">
        <v>10</v>
      </c>
      <c r="E29">
        <v>93.201750000000004</v>
      </c>
      <c r="F29" s="4">
        <v>233303</v>
      </c>
      <c r="G29" s="5">
        <f t="shared" si="0"/>
        <v>21744248</v>
      </c>
      <c r="H29" s="35" t="s">
        <v>104</v>
      </c>
      <c r="I29">
        <v>90.05</v>
      </c>
      <c r="J29">
        <v>134.61000000000001</v>
      </c>
      <c r="L29">
        <v>140.26</v>
      </c>
      <c r="M29" s="57">
        <f t="shared" si="1"/>
        <v>141.66</v>
      </c>
    </row>
    <row r="30" spans="2:13" x14ac:dyDescent="0.25">
      <c r="B30" s="27" t="s">
        <v>82</v>
      </c>
      <c r="C30" s="1" t="s">
        <v>97</v>
      </c>
      <c r="D30" s="2" t="s">
        <v>10</v>
      </c>
      <c r="E30">
        <v>54</v>
      </c>
      <c r="F30" s="4">
        <v>25938</v>
      </c>
      <c r="G30" s="5">
        <f t="shared" si="0"/>
        <v>1400652</v>
      </c>
      <c r="H30" s="35" t="s">
        <v>124</v>
      </c>
      <c r="I30">
        <v>95.51</v>
      </c>
      <c r="J30">
        <v>142.77000000000001</v>
      </c>
      <c r="L30">
        <v>54</v>
      </c>
      <c r="M30" s="57">
        <f t="shared" si="1"/>
        <v>54.54</v>
      </c>
    </row>
    <row r="31" spans="2:13" x14ac:dyDescent="0.25">
      <c r="B31" s="27" t="s">
        <v>83</v>
      </c>
      <c r="C31" s="1" t="s">
        <v>39</v>
      </c>
      <c r="D31" s="2" t="s">
        <v>3</v>
      </c>
      <c r="E31" s="3">
        <v>0</v>
      </c>
      <c r="F31" s="4">
        <v>1264934</v>
      </c>
      <c r="G31" s="5">
        <f t="shared" si="0"/>
        <v>0</v>
      </c>
      <c r="H31" s="35" t="s">
        <v>102</v>
      </c>
      <c r="I31">
        <v>0</v>
      </c>
      <c r="J31">
        <v>0</v>
      </c>
      <c r="L31">
        <v>0</v>
      </c>
      <c r="M31" s="57">
        <f t="shared" si="1"/>
        <v>0</v>
      </c>
    </row>
    <row r="32" spans="2:13" x14ac:dyDescent="0.25">
      <c r="B32" s="27" t="s">
        <v>125</v>
      </c>
      <c r="C32" s="1" t="s">
        <v>41</v>
      </c>
      <c r="D32" s="2" t="s">
        <v>25</v>
      </c>
      <c r="E32" s="3">
        <v>0</v>
      </c>
      <c r="F32" s="4">
        <v>33554</v>
      </c>
      <c r="G32" s="5">
        <f t="shared" si="0"/>
        <v>0</v>
      </c>
      <c r="H32" s="35" t="s">
        <v>114</v>
      </c>
      <c r="I32">
        <v>0</v>
      </c>
      <c r="J32">
        <v>0</v>
      </c>
      <c r="L32">
        <v>0</v>
      </c>
      <c r="M32" s="57">
        <f t="shared" si="1"/>
        <v>0</v>
      </c>
    </row>
    <row r="33" spans="2:13" x14ac:dyDescent="0.25">
      <c r="B33" s="27" t="s">
        <v>115</v>
      </c>
      <c r="C33" s="1" t="s">
        <v>43</v>
      </c>
      <c r="D33" s="2" t="s">
        <v>3</v>
      </c>
      <c r="E33" s="3">
        <v>0</v>
      </c>
      <c r="F33" s="4">
        <v>632484</v>
      </c>
      <c r="G33" s="5">
        <f t="shared" si="0"/>
        <v>0</v>
      </c>
      <c r="H33" s="35" t="s">
        <v>102</v>
      </c>
      <c r="I33">
        <v>0</v>
      </c>
      <c r="J33">
        <v>0</v>
      </c>
      <c r="L33">
        <v>0</v>
      </c>
      <c r="M33" s="57">
        <f t="shared" si="1"/>
        <v>0</v>
      </c>
    </row>
    <row r="34" spans="2:13" x14ac:dyDescent="0.25">
      <c r="B34" s="27" t="s">
        <v>105</v>
      </c>
      <c r="C34" s="1" t="s">
        <v>44</v>
      </c>
      <c r="D34" s="2" t="s">
        <v>3</v>
      </c>
      <c r="E34" s="61">
        <v>41</v>
      </c>
      <c r="F34" s="4">
        <v>69384</v>
      </c>
      <c r="G34" s="5">
        <f t="shared" si="0"/>
        <v>2844744</v>
      </c>
      <c r="H34" s="35" t="s">
        <v>106</v>
      </c>
      <c r="I34">
        <v>40</v>
      </c>
      <c r="J34">
        <v>59.79</v>
      </c>
      <c r="L34">
        <v>52.1</v>
      </c>
      <c r="M34" s="57">
        <f t="shared" si="1"/>
        <v>52.62</v>
      </c>
    </row>
    <row r="35" spans="2:13" x14ac:dyDescent="0.25">
      <c r="B35" s="27" t="s">
        <v>85</v>
      </c>
      <c r="C35" s="1" t="s">
        <v>45</v>
      </c>
      <c r="D35" s="2" t="s">
        <v>10</v>
      </c>
      <c r="E35" s="61">
        <v>110.4966</v>
      </c>
      <c r="F35" s="4">
        <v>30171</v>
      </c>
      <c r="G35" s="5">
        <f t="shared" si="0"/>
        <v>3333793</v>
      </c>
      <c r="H35" s="35" t="s">
        <v>102</v>
      </c>
      <c r="I35">
        <v>106.76</v>
      </c>
      <c r="J35">
        <v>159.59</v>
      </c>
      <c r="L35">
        <v>166.29</v>
      </c>
      <c r="M35" s="57">
        <f t="shared" si="1"/>
        <v>167.95</v>
      </c>
    </row>
    <row r="36" spans="2:13" x14ac:dyDescent="0.25">
      <c r="B36" s="27" t="s">
        <v>46</v>
      </c>
      <c r="C36" s="1" t="s">
        <v>116</v>
      </c>
      <c r="D36" s="2" t="s">
        <v>3</v>
      </c>
      <c r="E36" s="3">
        <v>0</v>
      </c>
      <c r="F36" s="4">
        <v>54342</v>
      </c>
      <c r="G36" s="5">
        <f t="shared" si="0"/>
        <v>0</v>
      </c>
      <c r="H36" s="35" t="s">
        <v>117</v>
      </c>
      <c r="L36">
        <v>0</v>
      </c>
      <c r="M36" s="57">
        <f t="shared" si="1"/>
        <v>0</v>
      </c>
    </row>
    <row r="37" spans="2:13" x14ac:dyDescent="0.25">
      <c r="B37" s="27" t="s">
        <v>86</v>
      </c>
      <c r="C37" s="1" t="s">
        <v>47</v>
      </c>
      <c r="D37" s="2" t="s">
        <v>3</v>
      </c>
      <c r="E37" s="61">
        <v>12</v>
      </c>
      <c r="F37" s="4">
        <v>1551674</v>
      </c>
      <c r="G37" s="5">
        <f t="shared" si="0"/>
        <v>18620088</v>
      </c>
      <c r="I37">
        <v>12</v>
      </c>
      <c r="J37">
        <v>17.940000000000001</v>
      </c>
      <c r="L37">
        <v>19</v>
      </c>
      <c r="M37" s="57">
        <f t="shared" si="1"/>
        <v>19.190000000000001</v>
      </c>
    </row>
    <row r="38" spans="2:13" x14ac:dyDescent="0.25">
      <c r="B38" s="27" t="s">
        <v>107</v>
      </c>
      <c r="C38" s="1" t="s">
        <v>48</v>
      </c>
      <c r="D38" s="2" t="s">
        <v>49</v>
      </c>
      <c r="E38" s="61">
        <v>3.3430499999999999</v>
      </c>
      <c r="F38" s="4">
        <v>33497</v>
      </c>
      <c r="G38" s="5">
        <f t="shared" si="0"/>
        <v>111982</v>
      </c>
      <c r="I38">
        <v>3.23</v>
      </c>
      <c r="J38">
        <v>4.83</v>
      </c>
      <c r="L38">
        <v>5.03</v>
      </c>
      <c r="M38" s="57">
        <f t="shared" si="1"/>
        <v>5.08</v>
      </c>
    </row>
    <row r="39" spans="2:13" x14ac:dyDescent="0.25">
      <c r="B39" s="27" t="s">
        <v>108</v>
      </c>
      <c r="C39" s="1" t="s">
        <v>50</v>
      </c>
      <c r="D39" s="2" t="s">
        <v>3</v>
      </c>
      <c r="E39" s="64">
        <v>80</v>
      </c>
      <c r="F39" s="4">
        <v>127197</v>
      </c>
      <c r="G39" s="5">
        <f t="shared" si="0"/>
        <v>10175760</v>
      </c>
      <c r="I39">
        <v>95</v>
      </c>
      <c r="J39">
        <v>142.01</v>
      </c>
      <c r="L39">
        <v>148</v>
      </c>
      <c r="M39" s="57">
        <f t="shared" si="1"/>
        <v>149.47999999999999</v>
      </c>
    </row>
    <row r="40" spans="2:13" x14ac:dyDescent="0.25">
      <c r="B40" s="27" t="s">
        <v>118</v>
      </c>
      <c r="C40" s="1" t="s">
        <v>119</v>
      </c>
      <c r="D40" s="2" t="s">
        <v>10</v>
      </c>
      <c r="E40" s="61">
        <v>3.33</v>
      </c>
      <c r="F40" s="4">
        <v>896192</v>
      </c>
      <c r="G40" s="5">
        <f t="shared" si="0"/>
        <v>2984319</v>
      </c>
      <c r="H40" s="35" t="s">
        <v>120</v>
      </c>
      <c r="I40" s="60">
        <v>17.8</v>
      </c>
      <c r="J40">
        <v>26.61</v>
      </c>
      <c r="L40">
        <v>3.33</v>
      </c>
      <c r="M40" s="57">
        <f t="shared" si="1"/>
        <v>3.36</v>
      </c>
    </row>
    <row r="41" spans="2:13" x14ac:dyDescent="0.25">
      <c r="B41" s="27" t="s">
        <v>109</v>
      </c>
      <c r="C41" s="1" t="s">
        <v>53</v>
      </c>
      <c r="D41" s="2" t="s">
        <v>3</v>
      </c>
      <c r="E41" s="61">
        <v>24</v>
      </c>
      <c r="F41" s="4">
        <v>17403</v>
      </c>
      <c r="G41" s="5">
        <f t="shared" si="0"/>
        <v>417672</v>
      </c>
      <c r="I41">
        <v>16.7</v>
      </c>
      <c r="J41">
        <v>24.96</v>
      </c>
      <c r="L41">
        <v>30</v>
      </c>
      <c r="M41" s="57">
        <f t="shared" si="1"/>
        <v>30.3</v>
      </c>
    </row>
    <row r="42" spans="2:13" x14ac:dyDescent="0.25">
      <c r="B42" s="27" t="s">
        <v>110</v>
      </c>
      <c r="C42" s="1" t="s">
        <v>54</v>
      </c>
      <c r="D42" s="2" t="s">
        <v>3</v>
      </c>
      <c r="E42" s="61">
        <v>12</v>
      </c>
      <c r="F42" s="4">
        <v>57256</v>
      </c>
      <c r="G42" s="5">
        <f t="shared" si="0"/>
        <v>687072</v>
      </c>
      <c r="I42">
        <v>12</v>
      </c>
      <c r="J42">
        <v>17.940000000000001</v>
      </c>
      <c r="L42">
        <v>19</v>
      </c>
      <c r="M42" s="57">
        <f t="shared" si="1"/>
        <v>19.190000000000001</v>
      </c>
    </row>
    <row r="43" spans="2:13" ht="15.75" thickBot="1" x14ac:dyDescent="0.3">
      <c r="B43" s="29" t="s">
        <v>55</v>
      </c>
      <c r="C43" s="1"/>
      <c r="D43" s="2"/>
      <c r="E43" s="3"/>
      <c r="F43" s="4"/>
      <c r="G43" s="6">
        <f>SUM(G6:G42)</f>
        <v>407071998</v>
      </c>
      <c r="I43">
        <v>0</v>
      </c>
      <c r="J43">
        <v>0</v>
      </c>
      <c r="L43">
        <v>0</v>
      </c>
      <c r="M43" s="57">
        <f t="shared" si="1"/>
        <v>0</v>
      </c>
    </row>
    <row r="44" spans="2:13" x14ac:dyDescent="0.25">
      <c r="B44" s="72" t="s">
        <v>56</v>
      </c>
      <c r="C44" s="73"/>
      <c r="D44" s="73"/>
      <c r="E44" s="73"/>
      <c r="F44" s="73"/>
      <c r="G44" s="74"/>
      <c r="L44">
        <v>0</v>
      </c>
      <c r="M44" s="57">
        <f t="shared" si="1"/>
        <v>0</v>
      </c>
    </row>
    <row r="45" spans="2:13" x14ac:dyDescent="0.25">
      <c r="B45" s="27" t="s">
        <v>57</v>
      </c>
      <c r="C45" s="1" t="s">
        <v>58</v>
      </c>
      <c r="D45" s="2" t="s">
        <v>25</v>
      </c>
      <c r="E45" s="61">
        <v>427.61025000000001</v>
      </c>
      <c r="F45" s="4">
        <v>42665</v>
      </c>
      <c r="G45" s="5">
        <f>ROUND(E45*F45,$H$4)</f>
        <v>18243991</v>
      </c>
      <c r="I45">
        <v>413.15</v>
      </c>
      <c r="J45">
        <v>617.59</v>
      </c>
      <c r="L45">
        <v>643.53</v>
      </c>
      <c r="M45" s="57">
        <f t="shared" si="1"/>
        <v>649.97</v>
      </c>
    </row>
    <row r="46" spans="2:13" x14ac:dyDescent="0.25">
      <c r="B46" s="27" t="s">
        <v>59</v>
      </c>
      <c r="C46" s="1" t="s">
        <v>60</v>
      </c>
      <c r="D46" s="2" t="s">
        <v>25</v>
      </c>
      <c r="E46" s="61">
        <v>457.78050000000002</v>
      </c>
      <c r="F46" s="4">
        <v>60990</v>
      </c>
      <c r="G46" s="5">
        <f t="shared" ref="G46:G52" si="2">ROUND(E46*F46,$H$4)</f>
        <v>27920033</v>
      </c>
      <c r="I46">
        <v>442.3</v>
      </c>
      <c r="J46">
        <v>661.16</v>
      </c>
      <c r="L46">
        <v>688.93</v>
      </c>
      <c r="M46" s="57">
        <f t="shared" si="1"/>
        <v>695.82</v>
      </c>
    </row>
    <row r="47" spans="2:13" x14ac:dyDescent="0.25">
      <c r="B47" s="78" t="s">
        <v>61</v>
      </c>
      <c r="C47" s="79"/>
      <c r="D47" s="79"/>
      <c r="E47" s="79"/>
      <c r="F47" s="79"/>
      <c r="G47" s="80"/>
      <c r="L47">
        <v>0</v>
      </c>
      <c r="M47" s="57">
        <f t="shared" si="1"/>
        <v>0</v>
      </c>
    </row>
    <row r="48" spans="2:13" x14ac:dyDescent="0.25">
      <c r="B48" s="27" t="s">
        <v>90</v>
      </c>
      <c r="C48" s="1" t="s">
        <v>62</v>
      </c>
      <c r="D48" s="2" t="s">
        <v>3</v>
      </c>
      <c r="E48" s="65">
        <v>80</v>
      </c>
      <c r="F48" s="4">
        <v>114438</v>
      </c>
      <c r="G48" s="5">
        <f t="shared" si="2"/>
        <v>9155040</v>
      </c>
      <c r="I48">
        <v>90</v>
      </c>
      <c r="J48">
        <v>134.53</v>
      </c>
      <c r="L48">
        <v>148</v>
      </c>
      <c r="M48" s="57">
        <f t="shared" si="1"/>
        <v>149.47999999999999</v>
      </c>
    </row>
    <row r="49" spans="2:13" x14ac:dyDescent="0.25">
      <c r="B49" s="27" t="s">
        <v>91</v>
      </c>
      <c r="C49" s="1" t="s">
        <v>63</v>
      </c>
      <c r="D49" s="2" t="s">
        <v>25</v>
      </c>
      <c r="E49" s="3">
        <v>0</v>
      </c>
      <c r="F49" s="4">
        <v>192091</v>
      </c>
      <c r="G49" s="5">
        <f t="shared" si="2"/>
        <v>0</v>
      </c>
      <c r="H49" s="35" t="s">
        <v>111</v>
      </c>
      <c r="I49">
        <v>110.01</v>
      </c>
      <c r="J49">
        <v>164.45</v>
      </c>
      <c r="L49">
        <v>0</v>
      </c>
      <c r="M49" s="57">
        <f t="shared" si="1"/>
        <v>0</v>
      </c>
    </row>
    <row r="50" spans="2:13" x14ac:dyDescent="0.25">
      <c r="B50" s="27" t="s">
        <v>122</v>
      </c>
      <c r="C50" s="1" t="s">
        <v>121</v>
      </c>
      <c r="D50" s="2" t="s">
        <v>3</v>
      </c>
      <c r="E50" s="3">
        <v>0</v>
      </c>
      <c r="F50" s="4">
        <v>211606</v>
      </c>
      <c r="G50" s="5">
        <f t="shared" si="2"/>
        <v>0</v>
      </c>
      <c r="H50" s="35" t="s">
        <v>104</v>
      </c>
      <c r="I50">
        <v>0</v>
      </c>
      <c r="J50">
        <v>0</v>
      </c>
      <c r="L50">
        <v>0</v>
      </c>
      <c r="M50" s="57">
        <f t="shared" si="1"/>
        <v>0</v>
      </c>
    </row>
    <row r="51" spans="2:13" x14ac:dyDescent="0.25">
      <c r="B51" s="27" t="s">
        <v>112</v>
      </c>
      <c r="C51" s="1" t="s">
        <v>123</v>
      </c>
      <c r="D51" s="2" t="s">
        <v>3</v>
      </c>
      <c r="E51" s="59">
        <v>24</v>
      </c>
      <c r="F51" s="4">
        <v>94248</v>
      </c>
      <c r="G51" s="5">
        <f t="shared" si="2"/>
        <v>2261952</v>
      </c>
      <c r="I51">
        <v>19</v>
      </c>
      <c r="J51">
        <v>28.4</v>
      </c>
      <c r="L51">
        <v>30</v>
      </c>
      <c r="M51" s="57">
        <f t="shared" si="1"/>
        <v>30.3</v>
      </c>
    </row>
    <row r="52" spans="2:13" x14ac:dyDescent="0.25">
      <c r="B52" s="27" t="s">
        <v>113</v>
      </c>
      <c r="C52" s="1" t="s">
        <v>65</v>
      </c>
      <c r="D52" s="2" t="s">
        <v>3</v>
      </c>
      <c r="E52" s="59">
        <v>12</v>
      </c>
      <c r="F52" s="4">
        <v>258795</v>
      </c>
      <c r="G52" s="5">
        <f t="shared" si="2"/>
        <v>3105540</v>
      </c>
      <c r="I52">
        <v>12</v>
      </c>
      <c r="J52">
        <v>17.940000000000001</v>
      </c>
      <c r="L52">
        <v>18.760000000000002</v>
      </c>
      <c r="M52" s="57">
        <f t="shared" si="1"/>
        <v>18.95</v>
      </c>
    </row>
    <row r="53" spans="2:13" x14ac:dyDescent="0.25">
      <c r="B53" s="29" t="s">
        <v>66</v>
      </c>
      <c r="C53" s="1"/>
      <c r="D53" s="2"/>
      <c r="E53" s="3"/>
      <c r="F53" s="4"/>
      <c r="G53" s="6">
        <f>SUM(G45:G52)</f>
        <v>60686556</v>
      </c>
      <c r="I53" s="25"/>
    </row>
    <row r="54" spans="2:13" ht="15.75" thickBot="1" x14ac:dyDescent="0.3">
      <c r="B54" s="30"/>
      <c r="C54" s="7" t="s">
        <v>67</v>
      </c>
      <c r="D54" s="8"/>
      <c r="E54" s="9"/>
      <c r="F54" s="10"/>
      <c r="G54" s="11">
        <f>G43+G53</f>
        <v>467758554</v>
      </c>
      <c r="I54" s="25"/>
    </row>
    <row r="55" spans="2:13" ht="15.75" thickBot="1" x14ac:dyDescent="0.3">
      <c r="B55" s="41" t="s">
        <v>68</v>
      </c>
      <c r="C55" s="42"/>
      <c r="D55" s="43"/>
      <c r="E55" s="44"/>
      <c r="F55" s="45"/>
      <c r="G55" s="46">
        <f>G54</f>
        <v>467758554</v>
      </c>
      <c r="I55" s="25"/>
    </row>
    <row r="56" spans="2:13" ht="15.75" thickBot="1" x14ac:dyDescent="0.3">
      <c r="B56" s="32"/>
      <c r="C56" s="12"/>
      <c r="D56" s="13"/>
      <c r="E56" s="14"/>
      <c r="F56" s="15"/>
      <c r="G56" s="16"/>
    </row>
    <row r="57" spans="2:13" ht="15.75" thickBot="1" x14ac:dyDescent="0.3">
      <c r="B57" s="41" t="s">
        <v>69</v>
      </c>
      <c r="C57" s="42"/>
      <c r="D57" s="43"/>
      <c r="E57" s="44"/>
      <c r="F57" s="45"/>
      <c r="G57" s="46">
        <f>SUM(G58:G60)</f>
        <v>122121600</v>
      </c>
    </row>
    <row r="58" spans="2:13" x14ac:dyDescent="0.25">
      <c r="B58" s="33"/>
      <c r="C58" s="17" t="s">
        <v>70</v>
      </c>
      <c r="D58" s="18"/>
      <c r="E58" s="19"/>
      <c r="F58" s="20"/>
      <c r="G58" s="21">
        <f>ROUND(G43*24%,$H$4)</f>
        <v>97697280</v>
      </c>
    </row>
    <row r="59" spans="2:13" x14ac:dyDescent="0.25">
      <c r="B59" s="34"/>
      <c r="C59" s="22" t="s">
        <v>71</v>
      </c>
      <c r="D59" s="2"/>
      <c r="E59" s="3"/>
      <c r="F59" s="23"/>
      <c r="G59" s="6">
        <f>ROUND(G43*1%,$H$4)</f>
        <v>4070720</v>
      </c>
    </row>
    <row r="60" spans="2:13" x14ac:dyDescent="0.25">
      <c r="B60" s="34"/>
      <c r="C60" s="22" t="s">
        <v>72</v>
      </c>
      <c r="D60" s="2"/>
      <c r="E60" s="3"/>
      <c r="F60" s="23"/>
      <c r="G60" s="6">
        <f>ROUND(G43*5%,$H$4)</f>
        <v>20353600</v>
      </c>
    </row>
    <row r="61" spans="2:13" ht="15.75" thickBot="1" x14ac:dyDescent="0.3">
      <c r="B61" s="34"/>
      <c r="C61" s="22" t="s">
        <v>73</v>
      </c>
      <c r="D61" s="2"/>
      <c r="E61" s="3"/>
      <c r="F61" s="23"/>
      <c r="G61" s="6">
        <f>ROUND(10%*G53,$H$4)</f>
        <v>6068656</v>
      </c>
    </row>
    <row r="62" spans="2:13" ht="15.75" thickBot="1" x14ac:dyDescent="0.3">
      <c r="B62" s="41" t="s">
        <v>99</v>
      </c>
      <c r="C62" s="42"/>
      <c r="D62" s="42"/>
      <c r="E62" s="44"/>
      <c r="F62" s="45"/>
      <c r="G62" s="46">
        <f>G55+G57+G61</f>
        <v>595948810</v>
      </c>
      <c r="M62" s="31"/>
    </row>
    <row r="63" spans="2:13" x14ac:dyDescent="0.25">
      <c r="E63" s="58"/>
      <c r="G63" s="26">
        <f>G62-G65</f>
        <v>-317384450.52799988</v>
      </c>
    </row>
    <row r="64" spans="2:13" x14ac:dyDescent="0.25">
      <c r="F64" s="26">
        <f>G64*1.5</f>
        <v>627.97556375131717</v>
      </c>
      <c r="G64" s="26">
        <f>G62/1423500</f>
        <v>418.65037583421145</v>
      </c>
    </row>
    <row r="65" spans="2:8" x14ac:dyDescent="0.25">
      <c r="F65" s="47">
        <v>1</v>
      </c>
      <c r="G65" s="31">
        <v>913333260.52799988</v>
      </c>
      <c r="H65" s="47">
        <v>1</v>
      </c>
    </row>
    <row r="66" spans="2:8" x14ac:dyDescent="0.25">
      <c r="E66" s="56"/>
      <c r="F66" s="48">
        <f>G65/G66</f>
        <v>1.494838923948429</v>
      </c>
      <c r="G66" s="31">
        <v>610991088</v>
      </c>
      <c r="H66" s="48">
        <f>G66*H65/G65</f>
        <v>0.66896839785160656</v>
      </c>
    </row>
    <row r="67" spans="2:8" ht="45" x14ac:dyDescent="0.25">
      <c r="B67" s="62" t="s">
        <v>126</v>
      </c>
      <c r="F67" s="48">
        <f>F65-F66</f>
        <v>-0.49483892394842899</v>
      </c>
      <c r="H67" s="48">
        <f>H65-H66</f>
        <v>0.33103160214839344</v>
      </c>
    </row>
    <row r="68" spans="2:8" x14ac:dyDescent="0.25">
      <c r="E68" s="56"/>
      <c r="F68" s="48">
        <f>G65/G68</f>
        <v>25.002484891175545</v>
      </c>
      <c r="G68" s="31">
        <v>36529699.5279999</v>
      </c>
      <c r="H68" s="35">
        <f>G68/G65</f>
        <v>3.9996024569259644E-2</v>
      </c>
    </row>
    <row r="69" spans="2:8" x14ac:dyDescent="0.25">
      <c r="F69" s="48">
        <f>F65-F68</f>
        <v>-24.002484891175545</v>
      </c>
    </row>
    <row r="74" spans="2:8" x14ac:dyDescent="0.25">
      <c r="F74">
        <f>F75*F75*F76</f>
        <v>0.36</v>
      </c>
      <c r="G74" s="25">
        <f>F74*148</f>
        <v>53.28</v>
      </c>
    </row>
    <row r="75" spans="2:8" x14ac:dyDescent="0.25">
      <c r="F75">
        <v>0.6</v>
      </c>
    </row>
    <row r="76" spans="2:8" x14ac:dyDescent="0.25">
      <c r="F76">
        <v>1</v>
      </c>
    </row>
  </sheetData>
  <mergeCells count="11">
    <mergeCell ref="B19:G19"/>
    <mergeCell ref="B21:G21"/>
    <mergeCell ref="B26:G26"/>
    <mergeCell ref="B44:G44"/>
    <mergeCell ref="B47:G47"/>
    <mergeCell ref="B2:G3"/>
    <mergeCell ref="B5:G5"/>
    <mergeCell ref="B8:G8"/>
    <mergeCell ref="B12:G12"/>
    <mergeCell ref="B17:G17"/>
    <mergeCell ref="B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Fase I Etapa II (inicial)</vt:lpstr>
      <vt:lpstr>Fase I Etapa II - Total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Mauricio</cp:lastModifiedBy>
  <cp:lastPrinted>2025-05-28T01:13:54Z</cp:lastPrinted>
  <dcterms:created xsi:type="dcterms:W3CDTF">2025-05-27T17:44:37Z</dcterms:created>
  <dcterms:modified xsi:type="dcterms:W3CDTF">2025-10-29T22:35:14Z</dcterms:modified>
</cp:coreProperties>
</file>